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ity of Charleston, WV\HOME ARP Program\Application\"/>
    </mc:Choice>
  </mc:AlternateContent>
  <xr:revisionPtr revIDLastSave="0" documentId="13_ncr:1_{9A41096A-9A64-4110-BEEC-2D86422559DE}" xr6:coauthVersionLast="47" xr6:coauthVersionMax="47" xr10:uidLastSave="{00000000-0000-0000-0000-000000000000}"/>
  <bookViews>
    <workbookView xWindow="38290" yWindow="-110" windowWidth="29020" windowHeight="15700" tabRatio="901" xr2:uid="{00000000-000D-0000-FFFF-FFFF00000000}"/>
  </bookViews>
  <sheets>
    <sheet name="1)Summary &amp; Gap" sheetId="7" r:id="rId1"/>
    <sheet name="2)Compliance Info" sheetId="6" state="hidden" r:id="rId2"/>
    <sheet name="3)Units&amp;Revenue" sheetId="1" r:id="rId3"/>
    <sheet name="4)Operating Budget" sheetId="2" r:id="rId4"/>
    <sheet name="5)15 Yr Projection" sheetId="8" r:id="rId5"/>
    <sheet name="6)Dev Budget" sheetId="11" r:id="rId6"/>
    <sheet name="7)Const Scope" sheetId="15" state="hidden" r:id="rId7"/>
    <sheet name="8)Const Cash Flow" sheetId="5" state="hidden" r:id="rId8"/>
    <sheet name="9)TC Equity" sheetId="12" state="hidden" r:id="rId9"/>
    <sheet name="10)CNA" sheetId="13" state="hidden" r:id="rId10"/>
  </sheets>
  <externalReferences>
    <externalReference r:id="rId11"/>
  </externalReferences>
  <definedNames>
    <definedName name="Equity">'9)TC Equity'!$D$25</definedName>
    <definedName name="HAU">'[1]1)Summary'!$C$22</definedName>
    <definedName name="MktUnits">'1)Summary &amp; Gap'!$H$28</definedName>
    <definedName name="_xlnm.Print_Area" localSheetId="0">'1)Summary &amp; Gap'!$A$1:$J$65</definedName>
    <definedName name="_xlnm.Print_Area" localSheetId="1">'2)Compliance Info'!$A$1:$I$47</definedName>
    <definedName name="_xlnm.Print_Area" localSheetId="2">'3)Units&amp;Revenue'!$A$1:$U$34</definedName>
    <definedName name="_xlnm.Print_Area" localSheetId="5">'6)Dev Budget'!$B$1:$K$64</definedName>
    <definedName name="_xlnm.Print_Area" localSheetId="7">'8)Const Cash Flow'!$A$1:$AC$40</definedName>
    <definedName name="_xlnm.Print_Titles" localSheetId="9">'10)CNA'!$A:$C</definedName>
    <definedName name="_xlnm.Print_Titles" localSheetId="4">'5)15 Yr Projection'!$A:$C</definedName>
    <definedName name="_xlnm.Print_Titles" localSheetId="7">'8)Const Cash Flow'!$A:$B</definedName>
    <definedName name="SqFt">'3)Units&amp;Revenue'!$E$31</definedName>
    <definedName name="TDC">'6)Dev Budget'!$G$63</definedName>
    <definedName name="Units">'3)Units&amp;Revenue'!$N$22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4" i="2" l="1"/>
  <c r="AA24" i="2"/>
  <c r="D16" i="2"/>
  <c r="G38" i="11" l="1"/>
  <c r="G29" i="11"/>
  <c r="F22" i="8"/>
  <c r="P22" i="8"/>
  <c r="L22" i="8"/>
  <c r="M22" i="8" s="1"/>
  <c r="R22" i="8"/>
  <c r="J23" i="2"/>
  <c r="G22" i="8" l="1"/>
  <c r="H22" i="8"/>
  <c r="I22" i="8"/>
  <c r="N22" i="8"/>
  <c r="J22" i="8"/>
  <c r="O22" i="8"/>
  <c r="Q22" i="8"/>
  <c r="E22" i="8"/>
  <c r="Y6" i="2" l="1"/>
  <c r="AA6" i="2" s="1"/>
  <c r="Y8" i="2" l="1"/>
  <c r="AA8" i="2" s="1"/>
  <c r="Y7" i="2"/>
  <c r="AA7" i="2" s="1"/>
  <c r="Y9" i="2"/>
  <c r="Y11" i="2" l="1"/>
  <c r="AA9" i="2"/>
  <c r="AA11" i="2" l="1"/>
  <c r="Y12" i="2"/>
  <c r="Y13" i="2" l="1"/>
  <c r="AA12" i="2"/>
  <c r="AA13" i="2" l="1"/>
  <c r="Y14" i="2"/>
  <c r="Y15" i="2" l="1"/>
  <c r="AA14" i="2"/>
  <c r="Y16" i="2" l="1"/>
  <c r="AA15" i="2"/>
  <c r="Y17" i="2" l="1"/>
  <c r="AA16" i="2"/>
  <c r="AA17" i="2" l="1"/>
  <c r="Y18" i="2"/>
  <c r="Y19" i="2" l="1"/>
  <c r="AA18" i="2"/>
  <c r="AA19" i="2" l="1"/>
  <c r="Y20" i="2"/>
  <c r="Y21" i="2" l="1"/>
  <c r="AA20" i="2"/>
  <c r="AA21" i="2" l="1"/>
  <c r="Y22" i="2"/>
  <c r="Y23" i="2" l="1"/>
  <c r="AA22" i="2"/>
  <c r="AA23" i="2" l="1"/>
  <c r="C3" i="6" l="1"/>
  <c r="C24" i="7"/>
  <c r="D24" i="7"/>
  <c r="F24" i="7"/>
  <c r="G24" i="7"/>
  <c r="C25" i="7"/>
  <c r="D25" i="7"/>
  <c r="E25" i="7"/>
  <c r="F25" i="7"/>
  <c r="G25" i="7"/>
  <c r="C26" i="7"/>
  <c r="F26" i="7"/>
  <c r="G26" i="7"/>
  <c r="C27" i="7"/>
  <c r="G27" i="7"/>
  <c r="C28" i="7"/>
  <c r="D28" i="7"/>
  <c r="E28" i="7"/>
  <c r="F28" i="7"/>
  <c r="G28" i="7"/>
  <c r="B40" i="7"/>
  <c r="B41" i="7"/>
  <c r="B42" i="7"/>
  <c r="B43" i="7"/>
  <c r="B44" i="7"/>
  <c r="B45" i="7"/>
  <c r="B46" i="7"/>
  <c r="B47" i="7"/>
  <c r="C4" i="6"/>
  <c r="D6" i="6"/>
  <c r="C9" i="6"/>
  <c r="D9" i="6"/>
  <c r="E9" i="6"/>
  <c r="F9" i="6"/>
  <c r="G9" i="6"/>
  <c r="H9" i="6"/>
  <c r="C11" i="6"/>
  <c r="D11" i="6"/>
  <c r="E11" i="6"/>
  <c r="F11" i="6"/>
  <c r="G11" i="6"/>
  <c r="H11" i="6"/>
  <c r="C12" i="6"/>
  <c r="G26" i="6" s="1"/>
  <c r="F26" i="6" s="1"/>
  <c r="F34" i="6" s="1"/>
  <c r="J9" i="1" s="1"/>
  <c r="D12" i="6"/>
  <c r="E12" i="6"/>
  <c r="G28" i="6" s="1"/>
  <c r="F12" i="6"/>
  <c r="G12" i="6"/>
  <c r="H12" i="6"/>
  <c r="G30" i="6" s="1"/>
  <c r="C17" i="6"/>
  <c r="D17" i="6"/>
  <c r="C19" i="6"/>
  <c r="D19" i="6"/>
  <c r="G42" i="6"/>
  <c r="F42" i="6"/>
  <c r="H42" i="6"/>
  <c r="F43" i="6"/>
  <c r="G43" i="6"/>
  <c r="H43" i="6"/>
  <c r="F44" i="6"/>
  <c r="G44" i="6"/>
  <c r="H44" i="6"/>
  <c r="F45" i="6"/>
  <c r="G45" i="6"/>
  <c r="H45" i="6"/>
  <c r="F46" i="6"/>
  <c r="G46" i="6"/>
  <c r="H46" i="6"/>
  <c r="E3" i="1"/>
  <c r="L3" i="1"/>
  <c r="H6" i="1"/>
  <c r="I6" i="1" s="1"/>
  <c r="K6" i="1"/>
  <c r="S6" i="1"/>
  <c r="T6" i="1" s="1"/>
  <c r="V6" i="1"/>
  <c r="H7" i="1"/>
  <c r="I7" i="1" s="1"/>
  <c r="K7" i="1"/>
  <c r="S7" i="1"/>
  <c r="T7" i="1" s="1"/>
  <c r="V7" i="1"/>
  <c r="H8" i="1"/>
  <c r="I8" i="1" s="1"/>
  <c r="K8" i="1"/>
  <c r="S8" i="1"/>
  <c r="T8" i="1" s="1"/>
  <c r="V8" i="1"/>
  <c r="H9" i="1"/>
  <c r="I9" i="1" s="1"/>
  <c r="K9" i="1"/>
  <c r="S9" i="1"/>
  <c r="T9" i="1" s="1"/>
  <c r="V9" i="1"/>
  <c r="H10" i="1"/>
  <c r="I10" i="1" s="1"/>
  <c r="K10" i="1"/>
  <c r="S10" i="1"/>
  <c r="T10" i="1" s="1"/>
  <c r="V10" i="1"/>
  <c r="C11" i="1"/>
  <c r="N11" i="1"/>
  <c r="K14" i="1"/>
  <c r="S14" i="1"/>
  <c r="T14" i="1" s="1"/>
  <c r="V14" i="1"/>
  <c r="K15" i="1"/>
  <c r="S15" i="1"/>
  <c r="T15" i="1" s="1"/>
  <c r="V15" i="1"/>
  <c r="H16" i="1"/>
  <c r="I16" i="1" s="1"/>
  <c r="K16" i="1"/>
  <c r="S16" i="1"/>
  <c r="V16" i="1"/>
  <c r="H17" i="1"/>
  <c r="I17" i="1" s="1"/>
  <c r="K17" i="1"/>
  <c r="S17" i="1"/>
  <c r="T17" i="1" s="1"/>
  <c r="V17" i="1"/>
  <c r="H18" i="1"/>
  <c r="I18" i="1" s="1"/>
  <c r="K18" i="1"/>
  <c r="S18" i="1"/>
  <c r="T18" i="1" s="1"/>
  <c r="V18" i="1"/>
  <c r="C19" i="1"/>
  <c r="N19" i="1"/>
  <c r="H22" i="1"/>
  <c r="I22" i="1" s="1"/>
  <c r="K22" i="1"/>
  <c r="H23" i="1"/>
  <c r="I23" i="1" s="1"/>
  <c r="K23" i="1"/>
  <c r="H24" i="1"/>
  <c r="I24" i="1" s="1"/>
  <c r="K24" i="1"/>
  <c r="H25" i="1"/>
  <c r="I25" i="1" s="1"/>
  <c r="K25" i="1"/>
  <c r="H26" i="1"/>
  <c r="I26" i="1" s="1"/>
  <c r="K26" i="1"/>
  <c r="T26" i="1"/>
  <c r="C27" i="1"/>
  <c r="T27" i="1"/>
  <c r="T28" i="1"/>
  <c r="T29" i="1"/>
  <c r="T30" i="1"/>
  <c r="S31" i="1"/>
  <c r="J15" i="2"/>
  <c r="D14" i="8" s="1"/>
  <c r="E14" i="8" s="1"/>
  <c r="F14" i="8" s="1"/>
  <c r="G14" i="8" s="1"/>
  <c r="H14" i="8" s="1"/>
  <c r="I14" i="8" s="1"/>
  <c r="J14" i="8" s="1"/>
  <c r="K14" i="8" s="1"/>
  <c r="L14" i="8" s="1"/>
  <c r="M14" i="8" s="1"/>
  <c r="N14" i="8" s="1"/>
  <c r="O14" i="8" s="1"/>
  <c r="P14" i="8" s="1"/>
  <c r="Q14" i="8" s="1"/>
  <c r="R14" i="8" s="1"/>
  <c r="D30" i="2"/>
  <c r="D13" i="8" s="1"/>
  <c r="E13" i="8" s="1"/>
  <c r="B7" i="8"/>
  <c r="K5" i="11"/>
  <c r="K6" i="11"/>
  <c r="K7" i="11"/>
  <c r="K8" i="11"/>
  <c r="K9" i="11"/>
  <c r="K10" i="11"/>
  <c r="K11" i="11"/>
  <c r="K12" i="11"/>
  <c r="K13" i="11"/>
  <c r="G14" i="11"/>
  <c r="K16" i="11"/>
  <c r="K17" i="11"/>
  <c r="D10" i="12" s="1"/>
  <c r="K18" i="11"/>
  <c r="G19" i="11"/>
  <c r="K21" i="11"/>
  <c r="K26" i="11"/>
  <c r="K34" i="11"/>
  <c r="K35" i="11"/>
  <c r="K36" i="11"/>
  <c r="K37" i="11"/>
  <c r="G40" i="11"/>
  <c r="K41" i="11"/>
  <c r="K42" i="11"/>
  <c r="K43" i="11"/>
  <c r="K44" i="11"/>
  <c r="K47" i="11"/>
  <c r="K48" i="11"/>
  <c r="K49" i="11"/>
  <c r="K50" i="11"/>
  <c r="K56" i="11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3" i="15"/>
  <c r="G24" i="15"/>
  <c r="G25" i="15"/>
  <c r="G26" i="15"/>
  <c r="G27" i="15"/>
  <c r="F31" i="15"/>
  <c r="F32" i="15"/>
  <c r="F33" i="15"/>
  <c r="F34" i="15"/>
  <c r="F35" i="15"/>
  <c r="F37" i="15"/>
  <c r="F38" i="15"/>
  <c r="F39" i="15"/>
  <c r="F40" i="15"/>
  <c r="F46" i="15"/>
  <c r="F48" i="15"/>
  <c r="F49" i="15"/>
  <c r="G50" i="15"/>
  <c r="D4" i="5"/>
  <c r="E4" i="5" s="1"/>
  <c r="F4" i="5" s="1"/>
  <c r="G4" i="5" s="1"/>
  <c r="H4" i="5" s="1"/>
  <c r="I4" i="5" s="1"/>
  <c r="J4" i="5" s="1"/>
  <c r="K4" i="5" s="1"/>
  <c r="L4" i="5" s="1"/>
  <c r="M4" i="5" s="1"/>
  <c r="N4" i="5" s="1"/>
  <c r="O4" i="5" s="1"/>
  <c r="P4" i="5" s="1"/>
  <c r="Q4" i="5" s="1"/>
  <c r="R4" i="5" s="1"/>
  <c r="S4" i="5" s="1"/>
  <c r="T4" i="5" s="1"/>
  <c r="U4" i="5" s="1"/>
  <c r="V4" i="5" s="1"/>
  <c r="W4" i="5" s="1"/>
  <c r="X4" i="5" s="1"/>
  <c r="Y4" i="5" s="1"/>
  <c r="Z4" i="5" s="1"/>
  <c r="P13" i="5"/>
  <c r="R13" i="5"/>
  <c r="S13" i="5"/>
  <c r="T13" i="5"/>
  <c r="U13" i="5"/>
  <c r="V13" i="5"/>
  <c r="W13" i="5"/>
  <c r="X13" i="5"/>
  <c r="Y13" i="5"/>
  <c r="Z13" i="5"/>
  <c r="A17" i="5"/>
  <c r="A18" i="5"/>
  <c r="A19" i="5"/>
  <c r="A20" i="5"/>
  <c r="B20" i="5"/>
  <c r="D20" i="5" s="1"/>
  <c r="AA20" i="5" s="1"/>
  <c r="A21" i="5"/>
  <c r="B21" i="5"/>
  <c r="N21" i="5" s="1"/>
  <c r="AA21" i="5" s="1"/>
  <c r="A22" i="5"/>
  <c r="B22" i="5"/>
  <c r="C22" i="5" s="1"/>
  <c r="C25" i="5" s="1"/>
  <c r="A23" i="5"/>
  <c r="B23" i="5"/>
  <c r="AA23" i="5"/>
  <c r="A24" i="5"/>
  <c r="B24" i="5"/>
  <c r="B3" i="13"/>
  <c r="B4" i="13"/>
  <c r="D32" i="13"/>
  <c r="E32" i="13"/>
  <c r="F32" i="13"/>
  <c r="G32" i="13"/>
  <c r="H32" i="13"/>
  <c r="I32" i="13"/>
  <c r="J32" i="13"/>
  <c r="K32" i="13"/>
  <c r="L32" i="13"/>
  <c r="N32" i="13"/>
  <c r="O32" i="13"/>
  <c r="P32" i="13"/>
  <c r="Q32" i="13"/>
  <c r="S32" i="13"/>
  <c r="T32" i="13"/>
  <c r="U32" i="13"/>
  <c r="V32" i="13"/>
  <c r="W32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V33" i="13"/>
  <c r="V35" i="13" s="1"/>
  <c r="V38" i="13" s="1"/>
  <c r="W33" i="13"/>
  <c r="B38" i="13"/>
  <c r="H14" i="1"/>
  <c r="I14" i="1" s="1"/>
  <c r="F36" i="15"/>
  <c r="F47" i="15"/>
  <c r="F44" i="15"/>
  <c r="F45" i="15"/>
  <c r="H15" i="1"/>
  <c r="I15" i="1" s="1"/>
  <c r="B19" i="5"/>
  <c r="N19" i="5" s="1"/>
  <c r="AA19" i="5" s="1"/>
  <c r="AB19" i="5" s="1"/>
  <c r="K23" i="11"/>
  <c r="O13" i="5"/>
  <c r="M32" i="13"/>
  <c r="R32" i="13"/>
  <c r="AA24" i="5"/>
  <c r="AA17" i="5"/>
  <c r="AA10" i="5"/>
  <c r="D41" i="13"/>
  <c r="N13" i="5"/>
  <c r="Q13" i="5"/>
  <c r="AA18" i="5"/>
  <c r="B6" i="5" l="1"/>
  <c r="C6" i="5" s="1"/>
  <c r="AA6" i="5" s="1"/>
  <c r="AC6" i="5" s="1"/>
  <c r="K40" i="11"/>
  <c r="G45" i="11"/>
  <c r="P35" i="13"/>
  <c r="P38" i="13" s="1"/>
  <c r="W35" i="13"/>
  <c r="W38" i="13" s="1"/>
  <c r="O35" i="13"/>
  <c r="O38" i="13" s="1"/>
  <c r="E26" i="6"/>
  <c r="E34" i="6" s="1"/>
  <c r="J8" i="1" s="1"/>
  <c r="R35" i="13"/>
  <c r="R38" i="13" s="1"/>
  <c r="G35" i="13"/>
  <c r="G38" i="13" s="1"/>
  <c r="C18" i="6"/>
  <c r="K35" i="13"/>
  <c r="K38" i="13" s="1"/>
  <c r="F50" i="15"/>
  <c r="G22" i="15" s="1"/>
  <c r="E28" i="6"/>
  <c r="E36" i="6" s="1"/>
  <c r="J24" i="1" s="1"/>
  <c r="C28" i="6"/>
  <c r="C36" i="6" s="1"/>
  <c r="J22" i="1" s="1"/>
  <c r="M35" i="13"/>
  <c r="M38" i="13" s="1"/>
  <c r="AC23" i="5"/>
  <c r="L35" i="13"/>
  <c r="L38" i="13" s="1"/>
  <c r="D35" i="13"/>
  <c r="D38" i="13" s="1"/>
  <c r="U35" i="13"/>
  <c r="U38" i="13" s="1"/>
  <c r="S35" i="13"/>
  <c r="S38" i="13" s="1"/>
  <c r="I35" i="13"/>
  <c r="I38" i="13" s="1"/>
  <c r="E35" i="13"/>
  <c r="E38" i="13" s="1"/>
  <c r="B5" i="5"/>
  <c r="C5" i="5" s="1"/>
  <c r="AA5" i="5" s="1"/>
  <c r="AC5" i="5" s="1"/>
  <c r="C26" i="6"/>
  <c r="C34" i="6" s="1"/>
  <c r="J6" i="1" s="1"/>
  <c r="H35" i="13"/>
  <c r="H38" i="13" s="1"/>
  <c r="D29" i="7"/>
  <c r="N35" i="13"/>
  <c r="N38" i="13" s="1"/>
  <c r="Q35" i="13"/>
  <c r="Q38" i="13" s="1"/>
  <c r="AB24" i="5"/>
  <c r="F28" i="6"/>
  <c r="F36" i="6" s="1"/>
  <c r="J25" i="1" s="1"/>
  <c r="T35" i="13"/>
  <c r="T38" i="13" s="1"/>
  <c r="J35" i="13"/>
  <c r="J38" i="13" s="1"/>
  <c r="F35" i="13"/>
  <c r="F38" i="13" s="1"/>
  <c r="D21" i="6"/>
  <c r="G29" i="6" s="1"/>
  <c r="G37" i="6" s="1"/>
  <c r="B8" i="5"/>
  <c r="G36" i="6"/>
  <c r="D28" i="6"/>
  <c r="D36" i="6" s="1"/>
  <c r="J23" i="1" s="1"/>
  <c r="C20" i="6"/>
  <c r="C21" i="6"/>
  <c r="G27" i="6" s="1"/>
  <c r="C27" i="6" s="1"/>
  <c r="C35" i="6" s="1"/>
  <c r="J14" i="1" s="1"/>
  <c r="D26" i="6"/>
  <c r="D34" i="6" s="1"/>
  <c r="J7" i="1" s="1"/>
  <c r="D18" i="6"/>
  <c r="G34" i="6"/>
  <c r="D20" i="6"/>
  <c r="AA22" i="5"/>
  <c r="AB22" i="5" s="1"/>
  <c r="AC19" i="5"/>
  <c r="AB23" i="5"/>
  <c r="AC20" i="5"/>
  <c r="AB6" i="5"/>
  <c r="T31" i="1"/>
  <c r="G29" i="7"/>
  <c r="H19" i="1"/>
  <c r="I19" i="1"/>
  <c r="E31" i="1"/>
  <c r="S11" i="1"/>
  <c r="N22" i="1"/>
  <c r="F41" i="15"/>
  <c r="G21" i="15" s="1"/>
  <c r="T11" i="1"/>
  <c r="H27" i="1"/>
  <c r="AB21" i="5"/>
  <c r="AC21" i="5"/>
  <c r="I27" i="1"/>
  <c r="H11" i="1"/>
  <c r="G38" i="6"/>
  <c r="C30" i="6"/>
  <c r="C38" i="6" s="1"/>
  <c r="U14" i="1" s="1"/>
  <c r="F30" i="6"/>
  <c r="F38" i="6" s="1"/>
  <c r="U17" i="1" s="1"/>
  <c r="E30" i="6"/>
  <c r="E38" i="6" s="1"/>
  <c r="U16" i="1" s="1"/>
  <c r="D30" i="6"/>
  <c r="D38" i="6" s="1"/>
  <c r="U15" i="1" s="1"/>
  <c r="T16" i="1"/>
  <c r="T19" i="1" s="1"/>
  <c r="S19" i="1"/>
  <c r="I11" i="1"/>
  <c r="AC24" i="5"/>
  <c r="AB20" i="5"/>
  <c r="C29" i="7"/>
  <c r="H26" i="7"/>
  <c r="H25" i="7"/>
  <c r="H28" i="7"/>
  <c r="E29" i="7"/>
  <c r="H27" i="7"/>
  <c r="F29" i="7"/>
  <c r="H24" i="7"/>
  <c r="K55" i="11"/>
  <c r="F13" i="8"/>
  <c r="G13" i="8" s="1"/>
  <c r="H13" i="8" s="1"/>
  <c r="I13" i="8" s="1"/>
  <c r="J13" i="8" s="1"/>
  <c r="K13" i="8" s="1"/>
  <c r="L13" i="8" s="1"/>
  <c r="M13" i="8" s="1"/>
  <c r="N13" i="8" s="1"/>
  <c r="O13" i="8" s="1"/>
  <c r="P13" i="8" s="1"/>
  <c r="Q13" i="8" s="1"/>
  <c r="R13" i="8" s="1"/>
  <c r="E16" i="2" l="1"/>
  <c r="K10" i="2"/>
  <c r="K21" i="2"/>
  <c r="B36" i="13" s="1"/>
  <c r="C29" i="6"/>
  <c r="C37" i="6" s="1"/>
  <c r="U6" i="1" s="1"/>
  <c r="F29" i="6"/>
  <c r="F37" i="6" s="1"/>
  <c r="U9" i="1" s="1"/>
  <c r="B10" i="5"/>
  <c r="AC10" i="5" s="1"/>
  <c r="K19" i="2"/>
  <c r="E28" i="2"/>
  <c r="G28" i="15"/>
  <c r="D28" i="15" s="1"/>
  <c r="E26" i="2"/>
  <c r="H37" i="11"/>
  <c r="AB5" i="5"/>
  <c r="F45" i="7"/>
  <c r="H11" i="11"/>
  <c r="F43" i="7"/>
  <c r="H23" i="11"/>
  <c r="K23" i="2"/>
  <c r="H17" i="11"/>
  <c r="H18" i="7"/>
  <c r="H13" i="11"/>
  <c r="H50" i="11"/>
  <c r="K7" i="2"/>
  <c r="K9" i="2"/>
  <c r="E6" i="2"/>
  <c r="C8" i="5"/>
  <c r="H8" i="5" s="1"/>
  <c r="D29" i="6"/>
  <c r="D37" i="6" s="1"/>
  <c r="U7" i="1" s="1"/>
  <c r="E29" i="6"/>
  <c r="E37" i="6" s="1"/>
  <c r="U8" i="1" s="1"/>
  <c r="D27" i="6"/>
  <c r="D35" i="6" s="1"/>
  <c r="J15" i="1" s="1"/>
  <c r="H36" i="11"/>
  <c r="H41" i="11"/>
  <c r="G35" i="6"/>
  <c r="E27" i="6"/>
  <c r="E35" i="6" s="1"/>
  <c r="J16" i="1" s="1"/>
  <c r="F27" i="6"/>
  <c r="F35" i="6" s="1"/>
  <c r="J17" i="1" s="1"/>
  <c r="AC22" i="5"/>
  <c r="H47" i="11"/>
  <c r="H8" i="11"/>
  <c r="H29" i="7"/>
  <c r="D5" i="12"/>
  <c r="H55" i="11"/>
  <c r="H51" i="11"/>
  <c r="H14" i="11"/>
  <c r="H26" i="11"/>
  <c r="E15" i="2"/>
  <c r="E30" i="2"/>
  <c r="H38" i="11"/>
  <c r="E18" i="2"/>
  <c r="F60" i="7"/>
  <c r="E29" i="2"/>
  <c r="F40" i="7"/>
  <c r="D4" i="12"/>
  <c r="F59" i="7"/>
  <c r="B35" i="13"/>
  <c r="H16" i="11"/>
  <c r="K5" i="2"/>
  <c r="H56" i="11"/>
  <c r="H44" i="11"/>
  <c r="F58" i="7"/>
  <c r="H7" i="11"/>
  <c r="E27" i="2"/>
  <c r="H49" i="11"/>
  <c r="H10" i="11"/>
  <c r="H34" i="11"/>
  <c r="H18" i="11"/>
  <c r="K15" i="2"/>
  <c r="K11" i="2"/>
  <c r="H40" i="11"/>
  <c r="E25" i="2"/>
  <c r="E19" i="2"/>
  <c r="H43" i="11"/>
  <c r="H6" i="11"/>
  <c r="E24" i="2"/>
  <c r="K18" i="2"/>
  <c r="H12" i="11"/>
  <c r="F61" i="7"/>
  <c r="K22" i="2"/>
  <c r="H5" i="11"/>
  <c r="K20" i="2"/>
  <c r="K6" i="2"/>
  <c r="F41" i="7"/>
  <c r="H9" i="11"/>
  <c r="H35" i="11"/>
  <c r="H19" i="11"/>
  <c r="H21" i="11"/>
  <c r="K8" i="2"/>
  <c r="H42" i="11"/>
  <c r="D21" i="2"/>
  <c r="K14" i="2"/>
  <c r="H48" i="11"/>
  <c r="E17" i="2"/>
  <c r="T22" i="1"/>
  <c r="S22" i="1"/>
  <c r="S23" i="1" s="1"/>
  <c r="B37" i="13" l="1"/>
  <c r="D39" i="13" s="1"/>
  <c r="D40" i="13" s="1"/>
  <c r="D42" i="13" s="1"/>
  <c r="E37" i="13" s="1"/>
  <c r="E41" i="13" s="1"/>
  <c r="AB10" i="5"/>
  <c r="F51" i="7"/>
  <c r="F57" i="7"/>
  <c r="F56" i="7"/>
  <c r="E32" i="7"/>
  <c r="E36" i="7"/>
  <c r="E35" i="7"/>
  <c r="E33" i="7"/>
  <c r="F54" i="7"/>
  <c r="E34" i="7"/>
  <c r="F55" i="7"/>
  <c r="F53" i="7"/>
  <c r="H24" i="11"/>
  <c r="G32" i="11"/>
  <c r="D15" i="8"/>
  <c r="E15" i="8" s="1"/>
  <c r="F15" i="8" s="1"/>
  <c r="G15" i="8" s="1"/>
  <c r="H15" i="8" s="1"/>
  <c r="I15" i="8" s="1"/>
  <c r="J15" i="8" s="1"/>
  <c r="K15" i="8" s="1"/>
  <c r="L15" i="8" s="1"/>
  <c r="M15" i="8" s="1"/>
  <c r="N15" i="8" s="1"/>
  <c r="O15" i="8" s="1"/>
  <c r="P15" i="8" s="1"/>
  <c r="Q15" i="8" s="1"/>
  <c r="R15" i="8" s="1"/>
  <c r="D6" i="12"/>
  <c r="D18" i="12" s="1"/>
  <c r="AA8" i="5"/>
  <c r="AC8" i="5" s="1"/>
  <c r="K24" i="11"/>
  <c r="E21" i="2"/>
  <c r="J25" i="2"/>
  <c r="D12" i="8"/>
  <c r="T23" i="1"/>
  <c r="D5" i="2"/>
  <c r="D7" i="2" s="1"/>
  <c r="E39" i="13" l="1"/>
  <c r="E40" i="13" s="1"/>
  <c r="E42" i="13" s="1"/>
  <c r="F37" i="13" s="1"/>
  <c r="F41" i="13" s="1"/>
  <c r="AB8" i="5"/>
  <c r="D16" i="8"/>
  <c r="D17" i="8" s="1"/>
  <c r="E12" i="8"/>
  <c r="K25" i="2"/>
  <c r="E5" i="2"/>
  <c r="B7" i="5"/>
  <c r="C32" i="11"/>
  <c r="H32" i="11"/>
  <c r="D17" i="7"/>
  <c r="B18" i="5"/>
  <c r="F52" i="7"/>
  <c r="F39" i="13" l="1"/>
  <c r="G39" i="13" s="1"/>
  <c r="I7" i="5"/>
  <c r="I13" i="5" s="1"/>
  <c r="E7" i="5"/>
  <c r="E13" i="5" s="1"/>
  <c r="L7" i="5"/>
  <c r="L13" i="5" s="1"/>
  <c r="H7" i="5"/>
  <c r="D7" i="5"/>
  <c r="K7" i="5"/>
  <c r="K13" i="5" s="1"/>
  <c r="G7" i="5"/>
  <c r="G13" i="5" s="1"/>
  <c r="J7" i="5"/>
  <c r="J13" i="5" s="1"/>
  <c r="F7" i="5"/>
  <c r="F13" i="5" s="1"/>
  <c r="K53" i="11"/>
  <c r="H53" i="11"/>
  <c r="F12" i="8"/>
  <c r="E16" i="8"/>
  <c r="E17" i="8" s="1"/>
  <c r="F42" i="7"/>
  <c r="H42" i="7"/>
  <c r="D8" i="2"/>
  <c r="E8" i="2" s="1"/>
  <c r="E7" i="2"/>
  <c r="D6" i="8"/>
  <c r="AB18" i="5"/>
  <c r="AC18" i="5"/>
  <c r="D18" i="7"/>
  <c r="F40" i="13" l="1"/>
  <c r="F42" i="13" s="1"/>
  <c r="G37" i="13" s="1"/>
  <c r="G41" i="13" s="1"/>
  <c r="D13" i="5"/>
  <c r="AA7" i="5"/>
  <c r="H39" i="13"/>
  <c r="G40" i="13"/>
  <c r="D9" i="2"/>
  <c r="F9" i="2" s="1"/>
  <c r="G12" i="8"/>
  <c r="F16" i="8"/>
  <c r="F17" i="8" s="1"/>
  <c r="E6" i="8"/>
  <c r="D7" i="8"/>
  <c r="D8" i="8" s="1"/>
  <c r="G42" i="13" l="1"/>
  <c r="H37" i="13" s="1"/>
  <c r="H41" i="13" s="1"/>
  <c r="L23" i="2"/>
  <c r="F21" i="2"/>
  <c r="E9" i="2"/>
  <c r="K27" i="2" s="1"/>
  <c r="J27" i="2"/>
  <c r="R31" i="2" s="1"/>
  <c r="J31" i="2" s="1"/>
  <c r="F30" i="2"/>
  <c r="L15" i="2"/>
  <c r="AB7" i="5"/>
  <c r="AC7" i="5"/>
  <c r="H40" i="13"/>
  <c r="I39" i="13"/>
  <c r="L25" i="2"/>
  <c r="G16" i="8"/>
  <c r="G17" i="8" s="1"/>
  <c r="H12" i="8"/>
  <c r="D9" i="8"/>
  <c r="D19" i="8"/>
  <c r="D26" i="8" s="1"/>
  <c r="F6" i="8"/>
  <c r="E7" i="8"/>
  <c r="E8" i="8" s="1"/>
  <c r="L27" i="2" l="1"/>
  <c r="H42" i="13"/>
  <c r="I37" i="13" s="1"/>
  <c r="I41" i="13" s="1"/>
  <c r="I40" i="13"/>
  <c r="J39" i="13"/>
  <c r="H16" i="8"/>
  <c r="H17" i="8" s="1"/>
  <c r="I12" i="8"/>
  <c r="G6" i="8"/>
  <c r="F7" i="8"/>
  <c r="F8" i="8" s="1"/>
  <c r="D20" i="8"/>
  <c r="E19" i="8"/>
  <c r="E26" i="8" s="1"/>
  <c r="E9" i="8"/>
  <c r="B17" i="5" l="1"/>
  <c r="J38" i="2"/>
  <c r="I42" i="13"/>
  <c r="J37" i="13" s="1"/>
  <c r="J41" i="13" s="1"/>
  <c r="J40" i="13"/>
  <c r="K39" i="13"/>
  <c r="J12" i="8"/>
  <c r="I16" i="8"/>
  <c r="I17" i="8" s="1"/>
  <c r="F9" i="8"/>
  <c r="F19" i="8"/>
  <c r="F26" i="8" s="1"/>
  <c r="E20" i="8"/>
  <c r="H6" i="8"/>
  <c r="G7" i="8"/>
  <c r="G8" i="8" s="1"/>
  <c r="F62" i="7" l="1"/>
  <c r="E62" i="7"/>
  <c r="D23" i="8"/>
  <c r="D24" i="8"/>
  <c r="K38" i="2"/>
  <c r="J42" i="13"/>
  <c r="K37" i="13" s="1"/>
  <c r="K41" i="13" s="1"/>
  <c r="K40" i="13"/>
  <c r="L39" i="13"/>
  <c r="K12" i="8"/>
  <c r="J16" i="8"/>
  <c r="J17" i="8" s="1"/>
  <c r="B25" i="5"/>
  <c r="AB17" i="5"/>
  <c r="AC17" i="5"/>
  <c r="G19" i="8"/>
  <c r="G26" i="8" s="1"/>
  <c r="G9" i="8"/>
  <c r="F20" i="8"/>
  <c r="H7" i="8"/>
  <c r="H8" i="8" s="1"/>
  <c r="I6" i="8"/>
  <c r="F24" i="8" l="1"/>
  <c r="F23" i="8"/>
  <c r="E24" i="8"/>
  <c r="E23" i="8"/>
  <c r="D27" i="8"/>
  <c r="D33" i="8"/>
  <c r="E33" i="8"/>
  <c r="K42" i="13"/>
  <c r="L37" i="13" s="1"/>
  <c r="L41" i="13" s="1"/>
  <c r="L40" i="13"/>
  <c r="M39" i="13"/>
  <c r="K16" i="8"/>
  <c r="K17" i="8" s="1"/>
  <c r="L12" i="8"/>
  <c r="H9" i="8"/>
  <c r="H19" i="8"/>
  <c r="H26" i="8" s="1"/>
  <c r="G20" i="8"/>
  <c r="G23" i="8"/>
  <c r="G24" i="8"/>
  <c r="I7" i="8"/>
  <c r="I8" i="8" s="1"/>
  <c r="J6" i="8"/>
  <c r="E27" i="8" l="1"/>
  <c r="F27" i="8"/>
  <c r="F33" i="8"/>
  <c r="L42" i="13"/>
  <c r="M37" i="13" s="1"/>
  <c r="M41" i="13" s="1"/>
  <c r="N39" i="13"/>
  <c r="M40" i="13"/>
  <c r="C45" i="13" s="1"/>
  <c r="L16" i="8"/>
  <c r="L17" i="8" s="1"/>
  <c r="M12" i="8"/>
  <c r="J7" i="8"/>
  <c r="J8" i="8" s="1"/>
  <c r="K6" i="8"/>
  <c r="H20" i="8"/>
  <c r="H23" i="8"/>
  <c r="H24" i="8"/>
  <c r="I19" i="8"/>
  <c r="I26" i="8" s="1"/>
  <c r="I9" i="8"/>
  <c r="G27" i="8"/>
  <c r="G33" i="8"/>
  <c r="O39" i="13" l="1"/>
  <c r="N40" i="13"/>
  <c r="M42" i="13"/>
  <c r="N37" i="13" s="1"/>
  <c r="N41" i="13" s="1"/>
  <c r="N12" i="8"/>
  <c r="M16" i="8"/>
  <c r="M17" i="8" s="1"/>
  <c r="L6" i="8"/>
  <c r="K7" i="8"/>
  <c r="K8" i="8" s="1"/>
  <c r="H27" i="8"/>
  <c r="H33" i="8"/>
  <c r="J9" i="8"/>
  <c r="J19" i="8"/>
  <c r="J26" i="8" s="1"/>
  <c r="I20" i="8"/>
  <c r="I23" i="8"/>
  <c r="I24" i="8"/>
  <c r="N42" i="13" l="1"/>
  <c r="O37" i="13" s="1"/>
  <c r="O41" i="13" s="1"/>
  <c r="P39" i="13"/>
  <c r="O40" i="13"/>
  <c r="N16" i="8"/>
  <c r="N17" i="8" s="1"/>
  <c r="O12" i="8"/>
  <c r="J20" i="8"/>
  <c r="J24" i="8"/>
  <c r="J23" i="8"/>
  <c r="I27" i="8"/>
  <c r="I33" i="8"/>
  <c r="K19" i="8"/>
  <c r="K26" i="8" s="1"/>
  <c r="K9" i="8"/>
  <c r="L7" i="8"/>
  <c r="L8" i="8" s="1"/>
  <c r="M6" i="8"/>
  <c r="O42" i="13" l="1"/>
  <c r="P37" i="13" s="1"/>
  <c r="P41" i="13" s="1"/>
  <c r="Q39" i="13"/>
  <c r="P40" i="13"/>
  <c r="P12" i="8"/>
  <c r="O16" i="8"/>
  <c r="O17" i="8" s="1"/>
  <c r="L9" i="8"/>
  <c r="L19" i="8"/>
  <c r="L26" i="8" s="1"/>
  <c r="K20" i="8"/>
  <c r="K24" i="8"/>
  <c r="K23" i="8"/>
  <c r="J33" i="8"/>
  <c r="J27" i="8"/>
  <c r="M7" i="8"/>
  <c r="M8" i="8" s="1"/>
  <c r="N6" i="8"/>
  <c r="P42" i="13" l="1"/>
  <c r="Q37" i="13" s="1"/>
  <c r="Q41" i="13" s="1"/>
  <c r="R39" i="13"/>
  <c r="Q40" i="13"/>
  <c r="P16" i="8"/>
  <c r="P17" i="8" s="1"/>
  <c r="Q12" i="8"/>
  <c r="M9" i="8"/>
  <c r="M19" i="8"/>
  <c r="M26" i="8" s="1"/>
  <c r="K27" i="8"/>
  <c r="K33" i="8"/>
  <c r="L20" i="8"/>
  <c r="L23" i="8"/>
  <c r="L24" i="8"/>
  <c r="N7" i="8"/>
  <c r="N8" i="8" s="1"/>
  <c r="O6" i="8"/>
  <c r="Q42" i="13" l="1"/>
  <c r="R37" i="13" s="1"/>
  <c r="R41" i="13" s="1"/>
  <c r="R40" i="13"/>
  <c r="C46" i="13" s="1"/>
  <c r="S39" i="13"/>
  <c r="Q16" i="8"/>
  <c r="Q17" i="8" s="1"/>
  <c r="R12" i="8"/>
  <c r="N19" i="8"/>
  <c r="N26" i="8" s="1"/>
  <c r="N9" i="8"/>
  <c r="L33" i="8"/>
  <c r="L27" i="8"/>
  <c r="M20" i="8"/>
  <c r="M24" i="8"/>
  <c r="M23" i="8"/>
  <c r="P6" i="8"/>
  <c r="O7" i="8"/>
  <c r="O8" i="8" s="1"/>
  <c r="T39" i="13" l="1"/>
  <c r="S40" i="13"/>
  <c r="R42" i="13"/>
  <c r="S37" i="13" s="1"/>
  <c r="S41" i="13" s="1"/>
  <c r="R16" i="8"/>
  <c r="R17" i="8" s="1"/>
  <c r="M27" i="8"/>
  <c r="M33" i="8"/>
  <c r="O9" i="8"/>
  <c r="O19" i="8"/>
  <c r="O26" i="8" s="1"/>
  <c r="Q6" i="8"/>
  <c r="P7" i="8"/>
  <c r="P8" i="8" s="1"/>
  <c r="N20" i="8"/>
  <c r="N24" i="8"/>
  <c r="N23" i="8"/>
  <c r="S42" i="13" l="1"/>
  <c r="T37" i="13" s="1"/>
  <c r="T41" i="13" s="1"/>
  <c r="U39" i="13"/>
  <c r="T40" i="13"/>
  <c r="P9" i="8"/>
  <c r="P19" i="8"/>
  <c r="P26" i="8" s="1"/>
  <c r="R6" i="8"/>
  <c r="Q7" i="8"/>
  <c r="Q8" i="8" s="1"/>
  <c r="N27" i="8"/>
  <c r="N33" i="8"/>
  <c r="O20" i="8"/>
  <c r="O23" i="8"/>
  <c r="O24" i="8"/>
  <c r="T42" i="13" l="1"/>
  <c r="U37" i="13" s="1"/>
  <c r="U41" i="13" s="1"/>
  <c r="V39" i="13"/>
  <c r="U40" i="13"/>
  <c r="O27" i="8"/>
  <c r="O33" i="8"/>
  <c r="Q9" i="8"/>
  <c r="Q19" i="8"/>
  <c r="Q26" i="8" s="1"/>
  <c r="P20" i="8"/>
  <c r="P24" i="8"/>
  <c r="P23" i="8"/>
  <c r="R7" i="8"/>
  <c r="R8" i="8" s="1"/>
  <c r="V40" i="13" l="1"/>
  <c r="W39" i="13"/>
  <c r="W40" i="13" s="1"/>
  <c r="U42" i="13"/>
  <c r="V37" i="13" s="1"/>
  <c r="V41" i="13" s="1"/>
  <c r="P33" i="8"/>
  <c r="P27" i="8"/>
  <c r="R9" i="8"/>
  <c r="R19" i="8"/>
  <c r="R26" i="8" s="1"/>
  <c r="Q20" i="8"/>
  <c r="Q24" i="8"/>
  <c r="Q23" i="8"/>
  <c r="V42" i="13" l="1"/>
  <c r="W37" i="13" s="1"/>
  <c r="W41" i="13" s="1"/>
  <c r="W42" i="13" s="1"/>
  <c r="C47" i="13"/>
  <c r="Q33" i="8"/>
  <c r="Q27" i="8"/>
  <c r="R20" i="8"/>
  <c r="R23" i="8"/>
  <c r="R24" i="8"/>
  <c r="T22" i="8"/>
  <c r="R33" i="8" l="1"/>
  <c r="R27" i="8"/>
  <c r="T26" i="8" l="1"/>
  <c r="D34" i="8" l="1"/>
  <c r="D35" i="8" s="1"/>
  <c r="E31" i="8" l="1"/>
  <c r="G57" i="11"/>
  <c r="H54" i="11"/>
  <c r="K54" i="11"/>
  <c r="G63" i="11" l="1"/>
  <c r="E34" i="8"/>
  <c r="E35" i="8" s="1"/>
  <c r="B11" i="5"/>
  <c r="C11" i="5" s="1"/>
  <c r="H57" i="11"/>
  <c r="F31" i="8" l="1"/>
  <c r="AA11" i="5"/>
  <c r="AB11" i="5" s="1"/>
  <c r="F46" i="7"/>
  <c r="F34" i="8" l="1"/>
  <c r="F35" i="8" s="1"/>
  <c r="AC11" i="5"/>
  <c r="G31" i="8" l="1"/>
  <c r="G34" i="8" l="1"/>
  <c r="G35" i="8" s="1"/>
  <c r="H31" i="8" l="1"/>
  <c r="H34" i="8" l="1"/>
  <c r="H35" i="8" s="1"/>
  <c r="I31" i="8" s="1"/>
  <c r="I34" i="8" l="1"/>
  <c r="I35" i="8" s="1"/>
  <c r="J31" i="8" s="1"/>
  <c r="J34" i="8" l="1"/>
  <c r="J35" i="8" s="1"/>
  <c r="K31" i="8" s="1"/>
  <c r="K34" i="8" l="1"/>
  <c r="K35" i="8" s="1"/>
  <c r="L31" i="8" s="1"/>
  <c r="L34" i="8" s="1"/>
  <c r="L35" i="8" l="1"/>
  <c r="M31" i="8" s="1"/>
  <c r="M34" i="8" s="1"/>
  <c r="M35" i="8" l="1"/>
  <c r="N34" i="8" l="1"/>
  <c r="N35" i="8" l="1"/>
  <c r="O34" i="8" l="1"/>
  <c r="O35" i="8" l="1"/>
  <c r="H45" i="11"/>
  <c r="F44" i="7"/>
  <c r="B9" i="5"/>
  <c r="B12" i="5"/>
  <c r="H61" i="11"/>
  <c r="K61" i="11"/>
  <c r="P34" i="8" l="1"/>
  <c r="C9" i="5"/>
  <c r="F47" i="7"/>
  <c r="M12" i="5"/>
  <c r="B13" i="5"/>
  <c r="P35" i="8" l="1"/>
  <c r="C13" i="5"/>
  <c r="H9" i="5"/>
  <c r="H13" i="5" s="1"/>
  <c r="M13" i="5"/>
  <c r="AA12" i="5"/>
  <c r="Q34" i="8" l="1"/>
  <c r="Q35" i="8" s="1"/>
  <c r="C34" i="5"/>
  <c r="C28" i="5"/>
  <c r="AA9" i="5"/>
  <c r="AB12" i="5"/>
  <c r="AC12" i="5"/>
  <c r="AC9" i="5" l="1"/>
  <c r="AB9" i="5"/>
  <c r="C29" i="5"/>
  <c r="C32" i="5"/>
  <c r="R34" i="8" l="1"/>
  <c r="R35" i="8" s="1"/>
  <c r="C30" i="5"/>
  <c r="C35" i="5" s="1"/>
  <c r="D16" i="5" s="1"/>
  <c r="D25" i="5" s="1"/>
  <c r="D28" i="5" s="1"/>
  <c r="C37" i="5"/>
  <c r="C40" i="5" s="1"/>
  <c r="D39" i="5" l="1"/>
  <c r="D32" i="5"/>
  <c r="D33" i="5" s="1"/>
  <c r="D29" i="5"/>
  <c r="D30" i="5" l="1"/>
  <c r="D37" i="5"/>
  <c r="D34" i="5"/>
  <c r="D38" i="5"/>
  <c r="D40" i="5" l="1"/>
  <c r="D35" i="5"/>
  <c r="E16" i="5" s="1"/>
  <c r="E25" i="5" s="1"/>
  <c r="E28" i="5" s="1"/>
  <c r="E29" i="5" l="1"/>
  <c r="E37" i="5" s="1"/>
  <c r="E32" i="5"/>
  <c r="E33" i="5" s="1"/>
  <c r="E39" i="5"/>
  <c r="E38" i="5" l="1"/>
  <c r="E40" i="5" s="1"/>
  <c r="E34" i="5"/>
  <c r="E30" i="5"/>
  <c r="E35" i="5" l="1"/>
  <c r="F16" i="5" s="1"/>
  <c r="F25" i="5" s="1"/>
  <c r="F28" i="5" s="1"/>
  <c r="F29" i="5" s="1"/>
  <c r="F37" i="5" s="1"/>
  <c r="F39" i="5"/>
  <c r="F30" i="5" l="1"/>
  <c r="F32" i="5"/>
  <c r="F33" i="5" s="1"/>
  <c r="F34" i="5" s="1"/>
  <c r="F35" i="5" l="1"/>
  <c r="G16" i="5" s="1"/>
  <c r="G25" i="5" s="1"/>
  <c r="G28" i="5" s="1"/>
  <c r="G29" i="5" s="1"/>
  <c r="F38" i="5"/>
  <c r="F40" i="5" s="1"/>
  <c r="G39" i="5" s="1"/>
  <c r="G32" i="5" l="1"/>
  <c r="G33" i="5" s="1"/>
  <c r="G37" i="5"/>
  <c r="G30" i="5"/>
  <c r="G38" i="5" l="1"/>
  <c r="G40" i="5" s="1"/>
  <c r="H39" i="5" s="1"/>
  <c r="G34" i="5"/>
  <c r="G35" i="5" s="1"/>
  <c r="H16" i="5" s="1"/>
  <c r="H25" i="5" s="1"/>
  <c r="H28" i="5" s="1"/>
  <c r="H29" i="5" l="1"/>
  <c r="H32" i="5"/>
  <c r="H33" i="5" s="1"/>
  <c r="H34" i="5" s="1"/>
  <c r="H38" i="5" l="1"/>
  <c r="H37" i="5"/>
  <c r="H30" i="5"/>
  <c r="H35" i="5" s="1"/>
  <c r="I16" i="5" s="1"/>
  <c r="I25" i="5" s="1"/>
  <c r="H40" i="5" l="1"/>
  <c r="I39" i="5" s="1"/>
  <c r="I28" i="5"/>
  <c r="I29" i="5" l="1"/>
  <c r="I32" i="5"/>
  <c r="I33" i="5" s="1"/>
  <c r="I38" i="5" s="1"/>
  <c r="I34" i="5" l="1"/>
  <c r="I37" i="5"/>
  <c r="I40" i="5" s="1"/>
  <c r="I30" i="5"/>
  <c r="I35" i="5" l="1"/>
  <c r="J16" i="5" s="1"/>
  <c r="J25" i="5" s="1"/>
  <c r="J28" i="5" s="1"/>
  <c r="J39" i="5"/>
  <c r="J29" i="5" l="1"/>
  <c r="J32" i="5"/>
  <c r="J33" i="5" s="1"/>
  <c r="J34" i="5" l="1"/>
  <c r="J38" i="5"/>
  <c r="J37" i="5"/>
  <c r="J40" i="5" s="1"/>
  <c r="J30" i="5"/>
  <c r="J35" i="5" l="1"/>
  <c r="K16" i="5" s="1"/>
  <c r="K25" i="5" s="1"/>
  <c r="K28" i="5" s="1"/>
  <c r="K39" i="5"/>
  <c r="K29" i="5" l="1"/>
  <c r="K32" i="5"/>
  <c r="K33" i="5" s="1"/>
  <c r="K38" i="5" l="1"/>
  <c r="K34" i="5"/>
  <c r="K37" i="5"/>
  <c r="K30" i="5"/>
  <c r="K35" i="5" l="1"/>
  <c r="L16" i="5" s="1"/>
  <c r="L25" i="5" s="1"/>
  <c r="L28" i="5" s="1"/>
  <c r="K40" i="5"/>
  <c r="L39" i="5" s="1"/>
  <c r="L29" i="5" l="1"/>
  <c r="L32" i="5"/>
  <c r="L33" i="5" s="1"/>
  <c r="L34" i="5" l="1"/>
  <c r="L38" i="5"/>
  <c r="L37" i="5"/>
  <c r="L30" i="5"/>
  <c r="L40" i="5" l="1"/>
  <c r="M39" i="5" s="1"/>
  <c r="L35" i="5"/>
  <c r="M16" i="5" s="1"/>
  <c r="M25" i="5" s="1"/>
  <c r="M28" i="5" s="1"/>
  <c r="M29" i="5" l="1"/>
  <c r="M32" i="5"/>
  <c r="M33" i="5" s="1"/>
  <c r="M38" i="5" l="1"/>
  <c r="M34" i="5"/>
  <c r="M37" i="5"/>
  <c r="M30" i="5"/>
  <c r="M35" i="5" l="1"/>
  <c r="N16" i="5" s="1"/>
  <c r="N25" i="5" s="1"/>
  <c r="N28" i="5" s="1"/>
  <c r="M40" i="5"/>
  <c r="N39" i="5" s="1"/>
  <c r="N29" i="5" l="1"/>
  <c r="N32" i="5"/>
  <c r="N33" i="5" s="1"/>
  <c r="N34" i="5" l="1"/>
  <c r="N38" i="5"/>
  <c r="N37" i="5"/>
  <c r="N30" i="5"/>
  <c r="N40" i="5" l="1"/>
  <c r="O39" i="5" s="1"/>
  <c r="N35" i="5"/>
  <c r="O16" i="5" s="1"/>
  <c r="O25" i="5" s="1"/>
  <c r="O28" i="5" s="1"/>
  <c r="O29" i="5" l="1"/>
  <c r="O32" i="5"/>
  <c r="O33" i="5" s="1"/>
  <c r="O38" i="5" l="1"/>
  <c r="O34" i="5"/>
  <c r="O37" i="5"/>
  <c r="O30" i="5"/>
  <c r="O35" i="5" s="1"/>
  <c r="P16" i="5" s="1"/>
  <c r="P25" i="5" s="1"/>
  <c r="O40" i="5" l="1"/>
  <c r="P39" i="5" s="1"/>
  <c r="P28" i="5"/>
  <c r="P29" i="5" l="1"/>
  <c r="P32" i="5"/>
  <c r="P33" i="5" s="1"/>
  <c r="P34" i="5" l="1"/>
  <c r="P38" i="5"/>
  <c r="P37" i="5"/>
  <c r="P30" i="5"/>
  <c r="P35" i="5" l="1"/>
  <c r="Q16" i="5" s="1"/>
  <c r="Q25" i="5" s="1"/>
  <c r="Q28" i="5" s="1"/>
  <c r="P40" i="5"/>
  <c r="Q39" i="5" s="1"/>
  <c r="Q29" i="5" l="1"/>
  <c r="Q32" i="5"/>
  <c r="Q33" i="5" s="1"/>
  <c r="Q38" i="5" l="1"/>
  <c r="Q34" i="5"/>
  <c r="Q37" i="5"/>
  <c r="Q30" i="5"/>
  <c r="Q35" i="5" l="1"/>
  <c r="R16" i="5" s="1"/>
  <c r="R25" i="5" s="1"/>
  <c r="R28" i="5" s="1"/>
  <c r="Q40" i="5"/>
  <c r="R39" i="5" s="1"/>
  <c r="R29" i="5" l="1"/>
  <c r="R32" i="5"/>
  <c r="R33" i="5" s="1"/>
  <c r="R34" i="5" l="1"/>
  <c r="R38" i="5"/>
  <c r="R37" i="5"/>
  <c r="R30" i="5"/>
  <c r="R40" i="5" l="1"/>
  <c r="S39" i="5" s="1"/>
  <c r="R35" i="5"/>
  <c r="S16" i="5" s="1"/>
  <c r="S25" i="5" s="1"/>
  <c r="S28" i="5" s="1"/>
  <c r="S29" i="5" l="1"/>
  <c r="S32" i="5"/>
  <c r="S33" i="5" s="1"/>
  <c r="S38" i="5" l="1"/>
  <c r="S34" i="5"/>
  <c r="S37" i="5"/>
  <c r="S30" i="5"/>
  <c r="S35" i="5" l="1"/>
  <c r="T16" i="5" s="1"/>
  <c r="T25" i="5" s="1"/>
  <c r="T28" i="5" s="1"/>
  <c r="S40" i="5"/>
  <c r="T39" i="5" s="1"/>
  <c r="T29" i="5" l="1"/>
  <c r="T32" i="5"/>
  <c r="T33" i="5" s="1"/>
  <c r="T34" i="5" l="1"/>
  <c r="T38" i="5"/>
  <c r="T37" i="5"/>
  <c r="T30" i="5"/>
  <c r="T40" i="5" l="1"/>
  <c r="U39" i="5" s="1"/>
  <c r="T35" i="5"/>
  <c r="U16" i="5" s="1"/>
  <c r="U25" i="5" s="1"/>
  <c r="U28" i="5" s="1"/>
  <c r="U29" i="5" l="1"/>
  <c r="U32" i="5"/>
  <c r="U33" i="5" s="1"/>
  <c r="U38" i="5" l="1"/>
  <c r="U34" i="5"/>
  <c r="U37" i="5"/>
  <c r="U30" i="5"/>
  <c r="U35" i="5" l="1"/>
  <c r="V16" i="5" s="1"/>
  <c r="V25" i="5" s="1"/>
  <c r="V28" i="5" s="1"/>
  <c r="U40" i="5"/>
  <c r="V39" i="5" s="1"/>
  <c r="V29" i="5" l="1"/>
  <c r="V32" i="5"/>
  <c r="V33" i="5" s="1"/>
  <c r="V34" i="5" l="1"/>
  <c r="V38" i="5"/>
  <c r="V37" i="5"/>
  <c r="V30" i="5"/>
  <c r="V40" i="5" l="1"/>
  <c r="V35" i="5"/>
  <c r="W16" i="5" s="1"/>
  <c r="W25" i="5" s="1"/>
  <c r="W28" i="5" s="1"/>
  <c r="W39" i="5"/>
  <c r="W29" i="5" l="1"/>
  <c r="W32" i="5"/>
  <c r="W33" i="5" s="1"/>
  <c r="W38" i="5" l="1"/>
  <c r="W34" i="5"/>
  <c r="W37" i="5"/>
  <c r="W30" i="5"/>
  <c r="W35" i="5" l="1"/>
  <c r="X16" i="5" s="1"/>
  <c r="X25" i="5" s="1"/>
  <c r="X28" i="5" s="1"/>
  <c r="W40" i="5"/>
  <c r="X39" i="5" s="1"/>
  <c r="X29" i="5" l="1"/>
  <c r="X32" i="5"/>
  <c r="X33" i="5" s="1"/>
  <c r="X34" i="5" l="1"/>
  <c r="X38" i="5"/>
  <c r="X37" i="5"/>
  <c r="X30" i="5"/>
  <c r="X40" i="5" l="1"/>
  <c r="Y39" i="5" s="1"/>
  <c r="X35" i="5"/>
  <c r="Y16" i="5" s="1"/>
  <c r="Y25" i="5" s="1"/>
  <c r="Y28" i="5" s="1"/>
  <c r="Y29" i="5" l="1"/>
  <c r="Y32" i="5"/>
  <c r="Y33" i="5" s="1"/>
  <c r="Y38" i="5" l="1"/>
  <c r="Y34" i="5"/>
  <c r="Y37" i="5"/>
  <c r="Y30" i="5"/>
  <c r="Y35" i="5" l="1"/>
  <c r="Z16" i="5" s="1"/>
  <c r="Z25" i="5" s="1"/>
  <c r="Z28" i="5" s="1"/>
  <c r="Y40" i="5"/>
  <c r="Z39" i="5" s="1"/>
  <c r="AA39" i="5" s="1"/>
  <c r="K63" i="11" l="1"/>
  <c r="D9" i="12" s="1"/>
  <c r="D11" i="12" s="1"/>
  <c r="D19" i="12" s="1"/>
  <c r="D20" i="12" s="1"/>
  <c r="D24" i="12" s="1"/>
  <c r="H63" i="11"/>
  <c r="Z29" i="5"/>
  <c r="Z32" i="5"/>
  <c r="Z33" i="5" s="1"/>
  <c r="E24" i="12" l="1"/>
  <c r="Z34" i="5"/>
  <c r="Z38" i="5"/>
  <c r="Z37" i="5"/>
  <c r="B29" i="5"/>
  <c r="Z30" i="5"/>
  <c r="E48" i="7"/>
  <c r="Z35" i="5" l="1"/>
  <c r="Z40" i="5"/>
  <c r="B40" i="5" s="1"/>
  <c r="G40" i="7"/>
  <c r="G46" i="7"/>
  <c r="F48" i="7"/>
  <c r="G52" i="7"/>
  <c r="G56" i="7"/>
  <c r="G60" i="7"/>
  <c r="D16" i="7"/>
  <c r="G41" i="7"/>
  <c r="G48" i="7"/>
  <c r="G53" i="7"/>
  <c r="G57" i="7"/>
  <c r="G61" i="7"/>
  <c r="G42" i="7"/>
  <c r="H48" i="7"/>
  <c r="G54" i="7"/>
  <c r="G58" i="7"/>
  <c r="G43" i="7"/>
  <c r="G45" i="7"/>
  <c r="G51" i="7"/>
  <c r="G55" i="7"/>
  <c r="G59" i="7"/>
  <c r="E64" i="7"/>
  <c r="F64" i="7" s="1"/>
  <c r="G44" i="7"/>
  <c r="G47" i="7"/>
  <c r="G62" i="7" l="1"/>
  <c r="H16" i="7"/>
  <c r="H17" i="7"/>
  <c r="G6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Stephen S. Lathom</author>
  </authors>
  <commentList>
    <comment ref="F16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Assumes use of same Utility Allowance Calculations for each subsidy program; this may not always be the case.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Winifred K. Smith</author>
  </authors>
  <commentList>
    <comment ref="C8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economic &amp; physical vacancy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EUP</author>
  </authors>
  <commentList>
    <comment ref="F19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New Carpet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Lathom</author>
  </authors>
  <commentList>
    <comment ref="B6" authorId="0" shapeId="0" xr:uid="{00000000-0006-0000-0800-000001000000}">
      <text>
        <r>
          <rPr>
            <sz val="8"/>
            <color indexed="81"/>
            <rFont val="Tahoma"/>
            <family val="2"/>
          </rPr>
          <t xml:space="preserve">Assumes that tax credit and market units are evenly distributed among unit types.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Stephen S. Lathom</author>
  </authors>
  <commentList>
    <comment ref="D8" authorId="0" shapeId="0" xr:uid="{00000000-0006-0000-0900-000001000000}">
      <text>
        <r>
          <rPr>
            <b/>
            <sz val="10"/>
            <color indexed="81"/>
            <rFont val="Tahoma"/>
            <family val="2"/>
          </rPr>
          <t>Use current pricing for all future capital needs.  Spreadsheet will adjust costs for inflation.</t>
        </r>
      </text>
    </comment>
  </commentList>
</comments>
</file>

<file path=xl/sharedStrings.xml><?xml version="1.0" encoding="utf-8"?>
<sst xmlns="http://schemas.openxmlformats.org/spreadsheetml/2006/main" count="645" uniqueCount="425">
  <si>
    <t>50% AMI</t>
  </si>
  <si>
    <t>30% AMI</t>
  </si>
  <si>
    <t>40% AMI</t>
  </si>
  <si>
    <t>60% AMI</t>
  </si>
  <si>
    <t>100% AMI</t>
  </si>
  <si>
    <t>Imputed HH Income Limits</t>
  </si>
  <si>
    <t>0 Bedrooms</t>
  </si>
  <si>
    <t>2 Bedrooms</t>
  </si>
  <si>
    <t>3 Bedrooms</t>
  </si>
  <si>
    <t>4 Bedrooms</t>
  </si>
  <si>
    <t>Baths</t>
  </si>
  <si>
    <t>Sq. Ft.</t>
  </si>
  <si>
    <t>Rent</t>
  </si>
  <si>
    <t># of Units</t>
  </si>
  <si>
    <t>Monthly Rent</t>
  </si>
  <si>
    <t>Subtotal</t>
  </si>
  <si>
    <t>Totals</t>
  </si>
  <si>
    <t>Per Unit Avg</t>
  </si>
  <si>
    <t>Units</t>
  </si>
  <si>
    <t>Other</t>
  </si>
  <si>
    <t>Other Income</t>
  </si>
  <si>
    <t>Miscellaneous &amp; Interest</t>
  </si>
  <si>
    <t>Laundry</t>
  </si>
  <si>
    <t>Carports</t>
  </si>
  <si>
    <t>Tenant Charges (late fees, nonsufficient funds, etc)</t>
  </si>
  <si>
    <t>Monthly</t>
  </si>
  <si>
    <t>Annually</t>
  </si>
  <si>
    <t>Gross Rent Potential</t>
  </si>
  <si>
    <t>Other Revenue</t>
  </si>
  <si>
    <t>Combined Vacancy Factor</t>
  </si>
  <si>
    <t>Net Income</t>
  </si>
  <si>
    <t>Administrative Costs</t>
  </si>
  <si>
    <t>Advertising</t>
  </si>
  <si>
    <t>Legal/Partnership</t>
  </si>
  <si>
    <t>Accounting/Audit</t>
  </si>
  <si>
    <t>Compliance Monitoring</t>
  </si>
  <si>
    <t>Maintenance</t>
  </si>
  <si>
    <t>Decorating</t>
  </si>
  <si>
    <t>Repairs</t>
  </si>
  <si>
    <t>Exterminating</t>
  </si>
  <si>
    <t>Grounds</t>
  </si>
  <si>
    <t>Operating</t>
  </si>
  <si>
    <t>Elevator</t>
  </si>
  <si>
    <t>Project Paid Fuel</t>
  </si>
  <si>
    <t>Common Electricity</t>
  </si>
  <si>
    <t>Water/Sewer</t>
  </si>
  <si>
    <t>Gas</t>
  </si>
  <si>
    <t>Trash Removal</t>
  </si>
  <si>
    <t>Payroll Taxes &amp; Fringes</t>
  </si>
  <si>
    <t>Escrows &amp; Reserves</t>
  </si>
  <si>
    <t>Insurance</t>
  </si>
  <si>
    <t>Replacement Reserve</t>
  </si>
  <si>
    <t>Annual</t>
  </si>
  <si>
    <t>Per Unit</t>
  </si>
  <si>
    <t>Total Units</t>
  </si>
  <si>
    <t>Net Operating Income</t>
  </si>
  <si>
    <t>Cash Flow</t>
  </si>
  <si>
    <t>Sources</t>
  </si>
  <si>
    <t>REVENUE</t>
  </si>
  <si>
    <t>OPERATING EXPENSES</t>
  </si>
  <si>
    <t>Acquisition</t>
  </si>
  <si>
    <t>Land</t>
  </si>
  <si>
    <t>Construction</t>
  </si>
  <si>
    <t>Developer Fee</t>
  </si>
  <si>
    <t>Reserves</t>
  </si>
  <si>
    <t>Rent Up Reserves</t>
  </si>
  <si>
    <t>Total</t>
  </si>
  <si>
    <t>Total Operating Expenses</t>
  </si>
  <si>
    <t>MORTGAGE</t>
  </si>
  <si>
    <t>Debt Coverage Ratio</t>
  </si>
  <si>
    <t>Max Mortgage Pmt</t>
  </si>
  <si>
    <t>Amortization (years)</t>
  </si>
  <si>
    <t>Interest Rate</t>
  </si>
  <si>
    <t>Mortgage</t>
  </si>
  <si>
    <t>Gross Income Potential</t>
  </si>
  <si>
    <t>Administration</t>
  </si>
  <si>
    <t>Debt Service</t>
  </si>
  <si>
    <t>Vacancy Factor</t>
  </si>
  <si>
    <t>CASH FLOW</t>
  </si>
  <si>
    <t>Operating Deficit Reserve Analysis</t>
  </si>
  <si>
    <t>Annual Operating Deficit</t>
  </si>
  <si>
    <t>Starting Balance</t>
  </si>
  <si>
    <t>Ending Balance</t>
  </si>
  <si>
    <t>Interest Earned</t>
  </si>
  <si>
    <t>Inflator</t>
  </si>
  <si>
    <t>USES OF FUNDS</t>
  </si>
  <si>
    <t>SUB-TOTAL USES</t>
  </si>
  <si>
    <t>SOURCES OF FUNDS</t>
  </si>
  <si>
    <t>SUB-TOTAL SOURCES</t>
  </si>
  <si>
    <t>Construction Loan</t>
  </si>
  <si>
    <t>TOTAL SOURCES</t>
  </si>
  <si>
    <t>Paydown Calculation</t>
  </si>
  <si>
    <t>Ending Cash</t>
  </si>
  <si>
    <t>(Loan Payoff)</t>
  </si>
  <si>
    <t>Budget</t>
  </si>
  <si>
    <t>Month</t>
  </si>
  <si>
    <t xml:space="preserve">Trial </t>
  </si>
  <si>
    <t>Balance</t>
  </si>
  <si>
    <t>Variance</t>
  </si>
  <si>
    <t>Prior Month Ending Cash</t>
  </si>
  <si>
    <t>Construction Loan Draw</t>
  </si>
  <si>
    <t>Draw</t>
  </si>
  <si>
    <t>Construction Loan Calculation</t>
  </si>
  <si>
    <t>Construction Loan Paydown</t>
  </si>
  <si>
    <t>Interest</t>
  </si>
  <si>
    <t>CONSTRUCTION LOAN INT &amp; BALANCES</t>
  </si>
  <si>
    <t>TOTAL USES</t>
  </si>
  <si>
    <t>% of Total</t>
  </si>
  <si>
    <t>Year</t>
  </si>
  <si>
    <t>Total Units:</t>
  </si>
  <si>
    <t>DEVELOPMENT BUDGET</t>
  </si>
  <si>
    <t>PROJECT</t>
  </si>
  <si>
    <t>TOTALS</t>
  </si>
  <si>
    <t>Appraiser</t>
  </si>
  <si>
    <t>Architect &amp; Engineer</t>
  </si>
  <si>
    <t>Preliminary Title Search</t>
  </si>
  <si>
    <t>Survey</t>
  </si>
  <si>
    <t>Total Predevelopment:</t>
  </si>
  <si>
    <t>Relocation</t>
  </si>
  <si>
    <t>Total Acquisition:</t>
  </si>
  <si>
    <t>CONSTRUCTION COSTS</t>
  </si>
  <si>
    <t>per sq. ft.</t>
  </si>
  <si>
    <t>Appliance Allowance</t>
  </si>
  <si>
    <t>Contractor Overhead</t>
  </si>
  <si>
    <t>CONSTRUCTION CONTINGENCY</t>
  </si>
  <si>
    <t>Total Construction:</t>
  </si>
  <si>
    <t>PROFESSIONAL SERVICES</t>
  </si>
  <si>
    <t>Total Professional Fees:</t>
  </si>
  <si>
    <t>Inspection &amp; Draw Fees</t>
  </si>
  <si>
    <t xml:space="preserve"> /inspect.</t>
  </si>
  <si>
    <t>Draws</t>
  </si>
  <si>
    <t>Total Carrying Costs:</t>
  </si>
  <si>
    <t>DEVELOPER FEE</t>
  </si>
  <si>
    <t>/Hard &amp; Soft Costs</t>
  </si>
  <si>
    <t>TOTAL DEVELOPMENT COSTS (TDC):</t>
  </si>
  <si>
    <t>Contractor Profit</t>
  </si>
  <si>
    <t>Environmental Reviews &amp; Reports (Phase I, Phase II, etc)</t>
  </si>
  <si>
    <t>Consultant</t>
  </si>
  <si>
    <t>Application Fees</t>
  </si>
  <si>
    <t>PERMANENT FINANCING &amp; SYNDICATION</t>
  </si>
  <si>
    <t>Partnership &amp; Organization Expense</t>
  </si>
  <si>
    <t>Legal (including tax opinion)</t>
  </si>
  <si>
    <t>Total Permanent Financing &amp; Syndication:</t>
  </si>
  <si>
    <t>RESERVES</t>
  </si>
  <si>
    <t>Total Reserves:</t>
  </si>
  <si>
    <t>Percent</t>
  </si>
  <si>
    <t>in Basis</t>
  </si>
  <si>
    <t>Eligible</t>
  </si>
  <si>
    <t>Basis</t>
  </si>
  <si>
    <t>BUILDING &amp; PROPERTY ACQUISITION</t>
  </si>
  <si>
    <t>Predevelopment &amp; Feasibility</t>
  </si>
  <si>
    <t>Professional Services</t>
  </si>
  <si>
    <t>Permanent Financing &amp; Syndication</t>
  </si>
  <si>
    <t>CARRYING &amp; CONSTRUCTION FINANCING COSTS</t>
  </si>
  <si>
    <t>Carrying &amp; Construction Financing</t>
  </si>
  <si>
    <t>OPERATING BUDGET</t>
  </si>
  <si>
    <t>REVENUE PROJECTIONS</t>
  </si>
  <si>
    <t>Development:</t>
  </si>
  <si>
    <t>County:</t>
  </si>
  <si>
    <t>Unit Mix</t>
  </si>
  <si>
    <t>Efficiency</t>
  </si>
  <si>
    <t>Avg Monthly Rent:</t>
  </si>
  <si>
    <t>Gross Rent Potential:</t>
  </si>
  <si>
    <t>Operating Expenses:</t>
  </si>
  <si>
    <t>Cash Flow:</t>
  </si>
  <si>
    <t>Debt Coverage Ratio:</t>
  </si>
  <si>
    <t>Net Operating Income:</t>
  </si>
  <si>
    <t>Other Income:</t>
  </si>
  <si>
    <t>Development Costs</t>
  </si>
  <si>
    <t>Total Development Costs</t>
  </si>
  <si>
    <t>Total Sources</t>
  </si>
  <si>
    <t>PROJECT SUMMARY</t>
  </si>
  <si>
    <t>TAX CREDIT EQUITY</t>
  </si>
  <si>
    <t>Total Eligible Basis</t>
  </si>
  <si>
    <t>Acquisition Basis</t>
  </si>
  <si>
    <t>Rehab/Construction Basis</t>
  </si>
  <si>
    <t>Applicable Fraction</t>
  </si>
  <si>
    <t>Affordable Units</t>
  </si>
  <si>
    <t>30% PV Credit (i.e. 4%) Rate</t>
  </si>
  <si>
    <t>70% PV Credit (i.e. 9%) Rate</t>
  </si>
  <si>
    <t>Equity Pricing (per $1.00)</t>
  </si>
  <si>
    <t>Anticipated Equity</t>
  </si>
  <si>
    <t>Annual Acquisition Credit</t>
  </si>
  <si>
    <t>Annual Rehab/Construction Credit</t>
  </si>
  <si>
    <t>Total Annual Credit</t>
  </si>
  <si>
    <t>Basis Boost</t>
  </si>
  <si>
    <t>Annual Rent</t>
  </si>
  <si>
    <t>Utility Allowances</t>
  </si>
  <si>
    <t xml:space="preserve">1 Bedroom  </t>
  </si>
  <si>
    <t>Total Sq Footage</t>
  </si>
  <si>
    <t>Total Sq. Footage of Units</t>
  </si>
  <si>
    <t>Capital Needs Assessment</t>
  </si>
  <si>
    <t>Development Name</t>
  </si>
  <si>
    <t>Owner</t>
  </si>
  <si>
    <t>Date Prepared</t>
  </si>
  <si>
    <t>Cost Category</t>
  </si>
  <si>
    <t>Description/Notes</t>
  </si>
  <si>
    <t>Landscaping/Irrigation/Drainage</t>
  </si>
  <si>
    <t>Concrete Walks/Retaining Walls</t>
  </si>
  <si>
    <t>Parking Areas</t>
  </si>
  <si>
    <t>Garages/Carports</t>
  </si>
  <si>
    <t>Roofing</t>
  </si>
  <si>
    <t>Eavestrough/Downspouts/Flashing</t>
  </si>
  <si>
    <t>Balconies/Patios/Steps</t>
  </si>
  <si>
    <t>Exterior Siding</t>
  </si>
  <si>
    <t>Doors/Windows</t>
  </si>
  <si>
    <t>Lobbies/Halls/Stairs</t>
  </si>
  <si>
    <t>Community Space</t>
  </si>
  <si>
    <t>HVAC</t>
  </si>
  <si>
    <t>Fire Safety</t>
  </si>
  <si>
    <t>Electrical</t>
  </si>
  <si>
    <t>Boilers/Pumps</t>
  </si>
  <si>
    <t>Unit Flooring/Carpeting</t>
  </si>
  <si>
    <t>Unit Appliances</t>
  </si>
  <si>
    <t>Unit Kitchen Cabinet/Countertop</t>
  </si>
  <si>
    <t>Annual Inflation Factor</t>
  </si>
  <si>
    <t>Inflation Factor</t>
  </si>
  <si>
    <t>Estimated Total Annual RR Needs</t>
  </si>
  <si>
    <t>Initial PUPY RR</t>
  </si>
  <si>
    <t>Initial Annual RR Deposit</t>
  </si>
  <si>
    <t>RR Deposit Annual Increase</t>
  </si>
  <si>
    <t>RR Needs</t>
  </si>
  <si>
    <t>Int on Reserve</t>
  </si>
  <si>
    <t>Contribution</t>
  </si>
  <si>
    <t>Net Annual Change</t>
  </si>
  <si>
    <t>Initial Deposit Needed for Next</t>
  </si>
  <si>
    <t>10 years:</t>
  </si>
  <si>
    <t>15 years:</t>
  </si>
  <si>
    <t>20 years:</t>
  </si>
  <si>
    <t>Equipment and Furnishing</t>
  </si>
  <si>
    <t>Owner:</t>
  </si>
  <si>
    <t>(0 Bedroom)</t>
  </si>
  <si>
    <t>(2 Bedroom)</t>
  </si>
  <si>
    <t>(1 Bedroom)</t>
  </si>
  <si>
    <t>(3 Bedroom)</t>
  </si>
  <si>
    <t>(4 Bedroom)</t>
  </si>
  <si>
    <t>Low-HOME</t>
  </si>
  <si>
    <t>High-HOME</t>
  </si>
  <si>
    <t>FMR</t>
  </si>
  <si>
    <t>Other CONTRACT Rent Limits</t>
  </si>
  <si>
    <t>Subtotal Hard &amp; Soft Costs</t>
  </si>
  <si>
    <t>Masonry</t>
  </si>
  <si>
    <t>CONSTRUCTION SCOPE OF WORK</t>
  </si>
  <si>
    <t>CONSTRUCTION</t>
  </si>
  <si>
    <t>Notes</t>
  </si>
  <si>
    <t>Linear Feet</t>
  </si>
  <si>
    <t>Sq. ft.</t>
  </si>
  <si>
    <t>Quantity</t>
  </si>
  <si>
    <t>Unit Price</t>
  </si>
  <si>
    <t>Total Cost</t>
  </si>
  <si>
    <r>
      <t>Demolition</t>
    </r>
    <r>
      <rPr>
        <sz val="8"/>
        <color indexed="8"/>
        <rFont val="Arial"/>
        <family val="2"/>
      </rPr>
      <t xml:space="preserve"> (Partial for Rehab only)</t>
    </r>
  </si>
  <si>
    <t>Excavation</t>
  </si>
  <si>
    <t>Concrete</t>
  </si>
  <si>
    <t>Siding</t>
  </si>
  <si>
    <t>Rough carpentry</t>
  </si>
  <si>
    <r>
      <t>HVAC</t>
    </r>
    <r>
      <rPr>
        <sz val="8"/>
        <rFont val="Arial"/>
        <family val="2"/>
      </rPr>
      <t xml:space="preserve"> (Repair, not Replacement)</t>
    </r>
  </si>
  <si>
    <t>Plumbing</t>
  </si>
  <si>
    <t>Interior Doors and Closet</t>
  </si>
  <si>
    <r>
      <t>Windows</t>
    </r>
    <r>
      <rPr>
        <sz val="8"/>
        <color indexed="8"/>
        <rFont val="Arial"/>
        <family val="2"/>
      </rPr>
      <t xml:space="preserve"> (Refurbish, not Replacement)</t>
    </r>
  </si>
  <si>
    <t>Drywall</t>
  </si>
  <si>
    <t>Tile</t>
  </si>
  <si>
    <t>Paint (interior)</t>
  </si>
  <si>
    <t>Flooring</t>
  </si>
  <si>
    <r>
      <t>Basic Insulation</t>
    </r>
    <r>
      <rPr>
        <sz val="8"/>
        <color indexed="8"/>
        <rFont val="Arial"/>
        <family val="2"/>
      </rPr>
      <t xml:space="preserve"> (not for Energy Efficiency)</t>
    </r>
  </si>
  <si>
    <t>Energy Efficiency Enhancements</t>
  </si>
  <si>
    <t>Appliances</t>
  </si>
  <si>
    <t>Cabinets &amp; Counter Tops</t>
  </si>
  <si>
    <t>Hardware and Accessories</t>
  </si>
  <si>
    <t>Window Treatments (mini blinds)</t>
  </si>
  <si>
    <t>Exterior Door</t>
  </si>
  <si>
    <t>Subtotal Materials / Labor:</t>
  </si>
  <si>
    <t>Cost per Sq. ft.:</t>
  </si>
  <si>
    <t>Energy Efficiency Improvements</t>
  </si>
  <si>
    <t># Per Unit</t>
  </si>
  <si>
    <t>Per Unit Cost</t>
  </si>
  <si>
    <t>Project</t>
  </si>
  <si>
    <t>Windows</t>
  </si>
  <si>
    <t>Blower Door Test</t>
  </si>
  <si>
    <t>House energy monitor</t>
  </si>
  <si>
    <t>Ceiling Fans</t>
  </si>
  <si>
    <t>Electrical: (motion, photovoltaic, dimmers, lt blbs)</t>
  </si>
  <si>
    <t>Low Flow Plumbing Fixtures</t>
  </si>
  <si>
    <t>Tankless water heater</t>
  </si>
  <si>
    <t>Solar Panels - Photovoltaic</t>
  </si>
  <si>
    <t>Total Energy Efficiency Improvements:</t>
  </si>
  <si>
    <t xml:space="preserve">Refrigerator </t>
  </si>
  <si>
    <t>Range/Microwave Hood</t>
  </si>
  <si>
    <t>Dishwasher</t>
  </si>
  <si>
    <t>Garbage Disposal</t>
  </si>
  <si>
    <t>Garage Door Opener</t>
  </si>
  <si>
    <t>Washer / Dryer</t>
  </si>
  <si>
    <t>Total Appliance Allowance</t>
  </si>
  <si>
    <t>Project:</t>
  </si>
  <si>
    <t>Unit Construction:  New and/or Rehab</t>
  </si>
  <si>
    <t>Project Information</t>
  </si>
  <si>
    <t>Project Name</t>
  </si>
  <si>
    <t>Neighborhood</t>
  </si>
  <si>
    <t>Street Address</t>
  </si>
  <si>
    <t>City:</t>
  </si>
  <si>
    <t>Zip Code:</t>
  </si>
  <si>
    <t>Developer/Sponsor/Owner Information</t>
  </si>
  <si>
    <t>Dev/Owner/Sponsor</t>
  </si>
  <si>
    <t>CHDO?</t>
  </si>
  <si>
    <t>Address</t>
  </si>
  <si>
    <t xml:space="preserve">Contact Person </t>
  </si>
  <si>
    <t>Phone</t>
  </si>
  <si>
    <t>Email</t>
  </si>
  <si>
    <t xml:space="preserve">Funding Request </t>
  </si>
  <si>
    <t>Total Dev. Costs</t>
  </si>
  <si>
    <t>HOME as % TDC</t>
  </si>
  <si>
    <t>Funds Leveraged</t>
  </si>
  <si>
    <t>dollars for every HOME dollar</t>
  </si>
  <si>
    <t>Subsidy Per Unit</t>
  </si>
  <si>
    <t>Project Type:</t>
  </si>
  <si>
    <t>Target Population:</t>
  </si>
  <si>
    <t>Fixed or Floating HOME Units?</t>
  </si>
  <si>
    <t>Unit Type</t>
  </si>
  <si>
    <t>Total Square Feet:</t>
  </si>
  <si>
    <t>Avg SqFt/Unit:</t>
  </si>
  <si>
    <t>HOME GROSS Rent Limits</t>
  </si>
  <si>
    <t>Developer:</t>
  </si>
  <si>
    <t>Efficiency Units</t>
  </si>
  <si>
    <t>% AMI Targeted</t>
  </si>
  <si>
    <t>3 BR Units</t>
  </si>
  <si>
    <r>
      <rPr>
        <u/>
        <sz val="10"/>
        <rFont val="Arial"/>
        <family val="2"/>
      </rPr>
      <t xml:space="preserve">&lt; </t>
    </r>
    <r>
      <rPr>
        <sz val="10"/>
        <rFont val="Arial"/>
        <family val="2"/>
      </rPr>
      <t>30%</t>
    </r>
  </si>
  <si>
    <t>Market Rate</t>
  </si>
  <si>
    <t>na</t>
  </si>
  <si>
    <t>1 BR Units</t>
  </si>
  <si>
    <t>4 BR Units</t>
  </si>
  <si>
    <t>2 BR Units</t>
  </si>
  <si>
    <t>1 BR</t>
  </si>
  <si>
    <t>2 BR</t>
  </si>
  <si>
    <t>3 BR</t>
  </si>
  <si>
    <t>4 BR</t>
  </si>
  <si>
    <r>
      <rPr>
        <u/>
        <sz val="9"/>
        <color indexed="8"/>
        <rFont val="Arial"/>
        <family val="2"/>
      </rPr>
      <t xml:space="preserve">&lt; </t>
    </r>
    <r>
      <rPr>
        <sz val="9"/>
        <color indexed="8"/>
        <rFont val="Arial"/>
        <family val="2"/>
      </rPr>
      <t>30% AMI</t>
    </r>
  </si>
  <si>
    <t xml:space="preserve">Total </t>
  </si>
  <si>
    <t>Household Income Limits:</t>
  </si>
  <si>
    <t>HOME Compliance Information</t>
  </si>
  <si>
    <t>% Revenue</t>
  </si>
  <si>
    <t>HOME Subsidy</t>
  </si>
  <si>
    <t>Per SqFt</t>
  </si>
  <si>
    <r>
      <rPr>
        <b/>
        <sz val="11"/>
        <color indexed="10"/>
        <rFont val="Arial"/>
        <family val="2"/>
      </rPr>
      <t>Gap</t>
    </r>
    <r>
      <rPr>
        <b/>
        <sz val="11"/>
        <color indexed="56"/>
        <rFont val="Arial"/>
        <family val="2"/>
      </rPr>
      <t xml:space="preserve"> (or Surplus)</t>
    </r>
  </si>
  <si>
    <t>HOMEUnits as % Units</t>
  </si>
  <si>
    <t>Net Revenue</t>
  </si>
  <si>
    <t>Common Space/Other Sq. Footage</t>
  </si>
  <si>
    <t>Total Sq. Footage</t>
  </si>
  <si>
    <t>HVAC (Geothermal System)</t>
  </si>
  <si>
    <t>Insulation</t>
  </si>
  <si>
    <t>Borrower's Legal</t>
  </si>
  <si>
    <t>Hot Water Heaters</t>
  </si>
  <si>
    <t xml:space="preserve">Finish carpentry </t>
  </si>
  <si>
    <t>See Schedule Below</t>
  </si>
  <si>
    <t>Tax Credit GROSS Rent Limits</t>
  </si>
  <si>
    <t>Tax Credit CONTRACT Rent Limits</t>
  </si>
  <si>
    <t>Contract Rent Limit</t>
  </si>
  <si>
    <t>Tax Credit Equity</t>
  </si>
  <si>
    <t>PREDEVELOPMENT &amp; FEASIBILITY</t>
  </si>
  <si>
    <t>per Unit</t>
  </si>
  <si>
    <t>General Requirements</t>
  </si>
  <si>
    <t>months</t>
  </si>
  <si>
    <t>Lease-Up Period:</t>
  </si>
  <si>
    <t>Capitalized Operating Deficit Account</t>
  </si>
  <si>
    <t>of TDC</t>
  </si>
  <si>
    <t>Actual Equity</t>
  </si>
  <si>
    <t>Operating Reserve</t>
  </si>
  <si>
    <t>Sponsor Equity/Def Fee</t>
  </si>
  <si>
    <t>Construction Period Cash Flow</t>
  </si>
  <si>
    <t>Cumulative Cash Flow</t>
  </si>
  <si>
    <t>Operating Margin</t>
  </si>
  <si>
    <t>LMI Units:</t>
  </si>
  <si>
    <t xml:space="preserve">On-Site Imporvements </t>
  </si>
  <si>
    <t xml:space="preserve">Market Study </t>
  </si>
  <si>
    <t xml:space="preserve">Title Insurance and Recording </t>
  </si>
  <si>
    <t xml:space="preserve">Structure </t>
  </si>
  <si>
    <t>Furnishings</t>
  </si>
  <si>
    <t xml:space="preserve">Accounting / Other </t>
  </si>
  <si>
    <t>Construction Interest and Loan Fees</t>
  </si>
  <si>
    <t xml:space="preserve">Real Estate Taxes / Legal </t>
  </si>
  <si>
    <t xml:space="preserve">Other </t>
  </si>
  <si>
    <t>Construction Insurance</t>
  </si>
  <si>
    <t>Perm. Loan Fees</t>
  </si>
  <si>
    <t xml:space="preserve">Building / Sewer Permits </t>
  </si>
  <si>
    <t xml:space="preserve">Cost Certification </t>
  </si>
  <si>
    <t xml:space="preserve">T&amp;I Escrow </t>
  </si>
  <si>
    <t>Home Request</t>
  </si>
  <si>
    <t>Match Funds min 25%</t>
  </si>
  <si>
    <t>DSCR</t>
  </si>
  <si>
    <t>Annual Principal</t>
  </si>
  <si>
    <t>Total Payment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</si>
  <si>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</si>
  <si>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</si>
  <si>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</si>
  <si>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</si>
  <si>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</si>
  <si>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</si>
  <si>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</si>
  <si>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</si>
  <si>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</si>
  <si>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</si>
  <si>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</si>
  <si>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</si>
  <si>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</si>
  <si>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</si>
  <si>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of hard cost</t>
  </si>
  <si>
    <t>Landscaping</t>
  </si>
  <si>
    <t>of Hard Cost</t>
  </si>
  <si>
    <t>Onsite improvements (infrastructure, sitework)</t>
  </si>
  <si>
    <t>Tenant Utility Allowance</t>
  </si>
  <si>
    <t>Year 1 (Construction)</t>
  </si>
  <si>
    <t>Year 2 (Construction)</t>
  </si>
  <si>
    <t>Year 1 Operating</t>
  </si>
  <si>
    <r>
      <t>Management</t>
    </r>
    <r>
      <rPr>
        <sz val="10"/>
        <rFont val="Calibri"/>
        <family val="2"/>
      </rPr>
      <t>¹</t>
    </r>
  </si>
  <si>
    <r>
      <t>Payroll</t>
    </r>
    <r>
      <rPr>
        <sz val="10"/>
        <rFont val="Calibri"/>
        <family val="2"/>
      </rPr>
      <t>²</t>
    </r>
  </si>
  <si>
    <r>
      <t>Real Estate Taxes</t>
    </r>
    <r>
      <rPr>
        <sz val="10"/>
        <rFont val="Calibri"/>
        <family val="2"/>
      </rPr>
      <t>³</t>
    </r>
  </si>
  <si>
    <r>
      <t>Other Taxes</t>
    </r>
    <r>
      <rPr>
        <sz val="10"/>
        <rFont val="Calibri"/>
        <family val="2"/>
      </rPr>
      <t>³</t>
    </r>
  </si>
  <si>
    <t>NOTE</t>
  </si>
  <si>
    <t>Operating Reserve Deposit</t>
  </si>
  <si>
    <t>Projected Annual Debt Service</t>
  </si>
  <si>
    <t>(Comments)</t>
  </si>
  <si>
    <t xml:space="preserve">Bond Premium/Common Area FF&amp;E/Inspections/B&amp;O Tax </t>
  </si>
  <si>
    <t>Marketing</t>
  </si>
  <si>
    <t>Tax Credit Agency Feets</t>
  </si>
  <si>
    <t>Soft Cost Contingency</t>
  </si>
  <si>
    <t>HOME</t>
  </si>
  <si>
    <t>15 Yr Operating Projection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</si>
</sst>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%"/>
    <numFmt numFmtId="166" formatCode="_(* #,##0_);_(* \(#,##0\);_(* &quot;-&quot;??_);_(@_)"/>
    <numFmt numFmtId="167" formatCode="&quot;$&quot;#,##0"/>
    <numFmt numFmtId="168" formatCode="_(&quot;$&quot;* #,##0_);_(&quot;$&quot;* \(#,##0\);_(&quot;$&quot;* &quot;-&quot;??_);_(@_)"/>
    <numFmt numFmtId="169" formatCode="General_)"/>
    <numFmt numFmtId="170" formatCode="&quot;$&quot;#,##0.00"/>
  </numFmts>
  <fonts count="90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Geneva"/>
      <family val="2"/>
    </font>
    <font>
      <sz val="10"/>
      <name val="Geneva"/>
    </font>
    <font>
      <b/>
      <u/>
      <sz val="11"/>
      <name val="Geneva"/>
    </font>
    <font>
      <sz val="9"/>
      <name val="Geneva"/>
    </font>
    <font>
      <b/>
      <sz val="9"/>
      <name val="Geneva"/>
    </font>
    <font>
      <b/>
      <sz val="9"/>
      <name val="Arial"/>
      <family val="2"/>
    </font>
    <font>
      <sz val="9"/>
      <name val="Arial"/>
      <family val="2"/>
    </font>
    <font>
      <b/>
      <sz val="8"/>
      <name val="Geneva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8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sz val="8"/>
      <color indexed="81"/>
      <name val="Tahoma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indexed="81"/>
      <name val="Tahoma"/>
      <family val="2"/>
    </font>
    <font>
      <sz val="7.5"/>
      <name val="Arial"/>
      <family val="2"/>
    </font>
    <font>
      <i/>
      <sz val="7.5"/>
      <name val="Arial"/>
      <family val="2"/>
    </font>
    <font>
      <b/>
      <sz val="8"/>
      <color indexed="81"/>
      <name val="Tahoma"/>
      <family val="2"/>
    </font>
    <font>
      <b/>
      <sz val="18"/>
      <name val="Arial"/>
      <family val="2"/>
    </font>
    <font>
      <sz val="8"/>
      <name val="Times New Roman"/>
      <family val="1"/>
    </font>
    <font>
      <b/>
      <sz val="13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sz val="7"/>
      <color indexed="60"/>
      <name val="Arial"/>
      <family val="2"/>
    </font>
    <font>
      <sz val="10"/>
      <color indexed="6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u/>
      <sz val="9"/>
      <name val="Arial"/>
      <family val="2"/>
    </font>
    <font>
      <b/>
      <i/>
      <sz val="10"/>
      <color indexed="56"/>
      <name val="Arial"/>
      <family val="2"/>
    </font>
    <font>
      <i/>
      <sz val="9"/>
      <name val="Arial"/>
      <family val="2"/>
    </font>
    <font>
      <b/>
      <sz val="11"/>
      <color indexed="10"/>
      <name val="Arial"/>
      <family val="2"/>
    </font>
    <font>
      <b/>
      <sz val="11"/>
      <color indexed="18"/>
      <name val="Arial"/>
      <family val="2"/>
    </font>
    <font>
      <sz val="9.5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39"/>
      </left>
      <right style="thick">
        <color indexed="39"/>
      </right>
      <top/>
      <bottom/>
      <diagonal/>
    </border>
    <border>
      <left style="thick">
        <color indexed="39"/>
      </left>
      <right/>
      <top/>
      <bottom/>
      <diagonal/>
    </border>
    <border>
      <left style="thick">
        <color indexed="39"/>
      </left>
      <right style="thick">
        <color indexed="39"/>
      </right>
      <top/>
      <bottom style="medium">
        <color indexed="64"/>
      </bottom>
      <diagonal/>
    </border>
    <border>
      <left style="thick">
        <color indexed="39"/>
      </left>
      <right/>
      <top/>
      <bottom style="medium">
        <color indexed="64"/>
      </bottom>
      <diagonal/>
    </border>
    <border>
      <left style="thick">
        <color indexed="39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39"/>
      </right>
      <top/>
      <bottom style="medium">
        <color indexed="64"/>
      </bottom>
      <diagonal/>
    </border>
    <border>
      <left style="thick">
        <color indexed="39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39"/>
      </left>
      <right/>
      <top/>
      <bottom style="thin">
        <color indexed="64"/>
      </bottom>
      <diagonal/>
    </border>
    <border>
      <left style="thick">
        <color indexed="39"/>
      </left>
      <right/>
      <top style="thin">
        <color indexed="64"/>
      </top>
      <bottom/>
      <diagonal/>
    </border>
    <border>
      <left style="thick">
        <color indexed="39"/>
      </left>
      <right/>
      <top style="thick">
        <color indexed="64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ck">
        <color indexed="39"/>
      </left>
      <right style="thick">
        <color indexed="39"/>
      </right>
      <top style="thin">
        <color indexed="8"/>
      </top>
      <bottom/>
      <diagonal/>
    </border>
    <border>
      <left style="thick">
        <color indexed="39"/>
      </left>
      <right style="thick">
        <color indexed="39"/>
      </right>
      <top style="thin">
        <color indexed="8"/>
      </top>
      <bottom style="medium">
        <color indexed="64"/>
      </bottom>
      <diagonal/>
    </border>
    <border>
      <left style="thick">
        <color indexed="39"/>
      </left>
      <right style="thick">
        <color indexed="39"/>
      </right>
      <top style="medium">
        <color indexed="64"/>
      </top>
      <bottom/>
      <diagonal/>
    </border>
    <border>
      <left style="thick">
        <color indexed="39"/>
      </left>
      <right style="thick">
        <color indexed="39"/>
      </right>
      <top style="thick">
        <color indexed="64"/>
      </top>
      <bottom/>
      <diagonal/>
    </border>
    <border>
      <left style="thick">
        <color indexed="39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7" borderId="0" applyNumberFormat="0" applyBorder="0" applyAlignment="0" applyProtection="0"/>
    <xf numFmtId="169" fontId="28" fillId="0" borderId="0"/>
    <xf numFmtId="169" fontId="48" fillId="0" borderId="0"/>
    <xf numFmtId="0" fontId="7" fillId="0" borderId="0"/>
    <xf numFmtId="0" fontId="1" fillId="4" borderId="7" applyNumberFormat="0" applyFont="0" applyAlignment="0" applyProtection="0"/>
    <xf numFmtId="0" fontId="63" fillId="4" borderId="7" applyNumberFormat="0" applyFont="0" applyAlignment="0" applyProtection="0"/>
    <xf numFmtId="0" fontId="29" fillId="16" borderId="8" applyNumberFormat="0" applyAlignment="0" applyProtection="0"/>
    <xf numFmtId="9" fontId="1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6" fontId="0" fillId="0" borderId="0" xfId="0" applyNumberFormat="1"/>
    <xf numFmtId="6" fontId="0" fillId="18" borderId="0" xfId="0" applyNumberFormat="1" applyFill="1"/>
    <xf numFmtId="0" fontId="0" fillId="0" borderId="10" xfId="0" applyBorder="1"/>
    <xf numFmtId="6" fontId="0" fillId="18" borderId="10" xfId="0" applyNumberFormat="1" applyFill="1" applyBorder="1"/>
    <xf numFmtId="6" fontId="0" fillId="0" borderId="10" xfId="0" applyNumberFormat="1" applyBorder="1"/>
    <xf numFmtId="6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1" xfId="0" applyFont="1" applyBorder="1"/>
    <xf numFmtId="164" fontId="0" fillId="0" borderId="0" xfId="47" applyNumberFormat="1" applyFont="1"/>
    <xf numFmtId="0" fontId="0" fillId="0" borderId="12" xfId="0" applyBorder="1"/>
    <xf numFmtId="2" fontId="0" fillId="0" borderId="0" xfId="0" applyNumberFormat="1"/>
    <xf numFmtId="0" fontId="4" fillId="0" borderId="0" xfId="0" applyFont="1" applyAlignment="1">
      <alignment horizontal="right"/>
    </xf>
    <xf numFmtId="0" fontId="0" fillId="0" borderId="13" xfId="0" applyBorder="1"/>
    <xf numFmtId="6" fontId="0" fillId="0" borderId="14" xfId="0" applyNumberFormat="1" applyBorder="1"/>
    <xf numFmtId="0" fontId="0" fillId="0" borderId="15" xfId="0" applyBorder="1"/>
    <xf numFmtId="6" fontId="0" fillId="0" borderId="16" xfId="0" applyNumberFormat="1" applyBorder="1"/>
    <xf numFmtId="0" fontId="6" fillId="0" borderId="10" xfId="43" applyFont="1" applyBorder="1" applyAlignment="1">
      <alignment wrapText="1"/>
    </xf>
    <xf numFmtId="0" fontId="6" fillId="0" borderId="0" xfId="43" applyFont="1" applyAlignment="1">
      <alignment wrapText="1"/>
    </xf>
    <xf numFmtId="0" fontId="8" fillId="0" borderId="0" xfId="43" applyFont="1" applyAlignment="1">
      <alignment wrapText="1"/>
    </xf>
    <xf numFmtId="6" fontId="9" fillId="0" borderId="0" xfId="43" applyNumberFormat="1" applyFont="1" applyAlignment="1">
      <alignment wrapText="1"/>
    </xf>
    <xf numFmtId="6" fontId="10" fillId="0" borderId="0" xfId="43" applyNumberFormat="1" applyFont="1" applyAlignment="1">
      <alignment horizontal="right" wrapText="1"/>
    </xf>
    <xf numFmtId="169" fontId="11" fillId="0" borderId="0" xfId="0" applyNumberFormat="1" applyFont="1" applyAlignment="1">
      <alignment wrapText="1"/>
    </xf>
    <xf numFmtId="0" fontId="9" fillId="0" borderId="0" xfId="43" applyFont="1" applyAlignment="1">
      <alignment wrapText="1"/>
    </xf>
    <xf numFmtId="6" fontId="10" fillId="0" borderId="0" xfId="43" applyNumberFormat="1" applyFont="1" applyAlignment="1">
      <alignment wrapText="1"/>
    </xf>
    <xf numFmtId="0" fontId="8" fillId="0" borderId="10" xfId="43" applyFont="1" applyBorder="1" applyAlignment="1">
      <alignment wrapText="1"/>
    </xf>
    <xf numFmtId="169" fontId="12" fillId="0" borderId="0" xfId="0" applyNumberFormat="1" applyFont="1" applyAlignment="1">
      <alignment wrapText="1"/>
    </xf>
    <xf numFmtId="6" fontId="11" fillId="0" borderId="0" xfId="0" applyNumberFormat="1" applyFont="1" applyAlignment="1">
      <alignment horizontal="left" wrapText="1"/>
    </xf>
    <xf numFmtId="6" fontId="0" fillId="18" borderId="14" xfId="0" applyNumberFormat="1" applyFill="1" applyBorder="1"/>
    <xf numFmtId="6" fontId="3" fillId="0" borderId="14" xfId="0" applyNumberFormat="1" applyFont="1" applyBorder="1"/>
    <xf numFmtId="0" fontId="10" fillId="0" borderId="0" xfId="43" applyFont="1" applyAlignment="1">
      <alignment horizontal="right" wrapText="1"/>
    </xf>
    <xf numFmtId="6" fontId="10" fillId="0" borderId="0" xfId="43" applyNumberFormat="1" applyFont="1" applyAlignment="1">
      <alignment horizontal="left"/>
    </xf>
    <xf numFmtId="6" fontId="0" fillId="18" borderId="17" xfId="0" applyNumberFormat="1" applyFill="1" applyBorder="1"/>
    <xf numFmtId="0" fontId="0" fillId="0" borderId="14" xfId="0" applyBorder="1"/>
    <xf numFmtId="0" fontId="0" fillId="0" borderId="18" xfId="0" applyBorder="1" applyAlignment="1">
      <alignment horizontal="center"/>
    </xf>
    <xf numFmtId="6" fontId="0" fillId="18" borderId="19" xfId="0" applyNumberFormat="1" applyFill="1" applyBorder="1"/>
    <xf numFmtId="6" fontId="0" fillId="0" borderId="19" xfId="0" applyNumberFormat="1" applyBorder="1"/>
    <xf numFmtId="6" fontId="3" fillId="0" borderId="19" xfId="0" applyNumberFormat="1" applyFont="1" applyBorder="1"/>
    <xf numFmtId="6" fontId="0" fillId="0" borderId="17" xfId="0" applyNumberFormat="1" applyBorder="1"/>
    <xf numFmtId="6" fontId="0" fillId="0" borderId="18" xfId="0" applyNumberFormat="1" applyBorder="1"/>
    <xf numFmtId="6" fontId="0" fillId="0" borderId="13" xfId="0" applyNumberFormat="1" applyBorder="1"/>
    <xf numFmtId="0" fontId="13" fillId="0" borderId="0" xfId="43" applyFont="1" applyAlignment="1">
      <alignment wrapText="1"/>
    </xf>
    <xf numFmtId="0" fontId="14" fillId="0" borderId="0" xfId="0" applyFont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0" xfId="0" applyFont="1"/>
    <xf numFmtId="0" fontId="14" fillId="0" borderId="10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0" xfId="0" applyFont="1" applyBorder="1"/>
    <xf numFmtId="6" fontId="9" fillId="0" borderId="10" xfId="43" applyNumberFormat="1" applyFont="1" applyBorder="1" applyAlignment="1">
      <alignment wrapText="1"/>
    </xf>
    <xf numFmtId="0" fontId="9" fillId="0" borderId="11" xfId="43" applyFont="1" applyBorder="1" applyAlignment="1">
      <alignment wrapText="1"/>
    </xf>
    <xf numFmtId="6" fontId="0" fillId="0" borderId="21" xfId="0" applyNumberFormat="1" applyBorder="1"/>
    <xf numFmtId="6" fontId="0" fillId="0" borderId="11" xfId="0" applyNumberFormat="1" applyBorder="1"/>
    <xf numFmtId="6" fontId="0" fillId="0" borderId="22" xfId="0" applyNumberFormat="1" applyBorder="1"/>
    <xf numFmtId="6" fontId="0" fillId="0" borderId="23" xfId="0" applyNumberFormat="1" applyBorder="1"/>
    <xf numFmtId="6" fontId="12" fillId="19" borderId="11" xfId="0" applyNumberFormat="1" applyFont="1" applyFill="1" applyBorder="1" applyAlignment="1">
      <alignment horizontal="left" wrapText="1"/>
    </xf>
    <xf numFmtId="6" fontId="0" fillId="19" borderId="21" xfId="0" applyNumberFormat="1" applyFill="1" applyBorder="1"/>
    <xf numFmtId="6" fontId="0" fillId="19" borderId="11" xfId="0" applyNumberFormat="1" applyFill="1" applyBorder="1"/>
    <xf numFmtId="6" fontId="0" fillId="19" borderId="22" xfId="0" applyNumberFormat="1" applyFill="1" applyBorder="1"/>
    <xf numFmtId="6" fontId="0" fillId="0" borderId="24" xfId="0" applyNumberFormat="1" applyBorder="1"/>
    <xf numFmtId="6" fontId="0" fillId="0" borderId="25" xfId="0" applyNumberFormat="1" applyBorder="1"/>
    <xf numFmtId="165" fontId="0" fillId="18" borderId="24" xfId="47" applyNumberFormat="1" applyFont="1" applyFill="1" applyBorder="1"/>
    <xf numFmtId="0" fontId="0" fillId="0" borderId="11" xfId="0" applyBorder="1"/>
    <xf numFmtId="6" fontId="3" fillId="0" borderId="26" xfId="0" applyNumberFormat="1" applyFont="1" applyBorder="1"/>
    <xf numFmtId="10" fontId="0" fillId="0" borderId="0" xfId="0" applyNumberFormat="1"/>
    <xf numFmtId="0" fontId="4" fillId="0" borderId="27" xfId="0" applyFont="1" applyBorder="1"/>
    <xf numFmtId="0" fontId="3" fillId="0" borderId="26" xfId="0" applyFont="1" applyBorder="1"/>
    <xf numFmtId="6" fontId="0" fillId="0" borderId="26" xfId="0" applyNumberFormat="1" applyBorder="1"/>
    <xf numFmtId="0" fontId="4" fillId="0" borderId="11" xfId="0" applyFont="1" applyBorder="1" applyAlignment="1">
      <alignment horizontal="right"/>
    </xf>
    <xf numFmtId="164" fontId="0" fillId="18" borderId="0" xfId="0" applyNumberFormat="1" applyFill="1"/>
    <xf numFmtId="0" fontId="32" fillId="0" borderId="0" xfId="0" applyFont="1"/>
    <xf numFmtId="0" fontId="33" fillId="0" borderId="0" xfId="0" applyFont="1"/>
    <xf numFmtId="0" fontId="35" fillId="0" borderId="0" xfId="0" applyFont="1"/>
    <xf numFmtId="169" fontId="1" fillId="0" borderId="0" xfId="41" applyFont="1"/>
    <xf numFmtId="169" fontId="33" fillId="0" borderId="0" xfId="41" applyFont="1"/>
    <xf numFmtId="169" fontId="1" fillId="0" borderId="0" xfId="41" applyFont="1" applyAlignment="1">
      <alignment horizontal="right"/>
    </xf>
    <xf numFmtId="169" fontId="1" fillId="0" borderId="0" xfId="41" applyFont="1" applyAlignment="1">
      <alignment horizontal="left"/>
    </xf>
    <xf numFmtId="37" fontId="14" fillId="0" borderId="28" xfId="41" applyNumberFormat="1" applyFont="1" applyBorder="1" applyAlignment="1">
      <alignment horizontal="center"/>
    </xf>
    <xf numFmtId="37" fontId="14" fillId="0" borderId="29" xfId="41" applyNumberFormat="1" applyFont="1" applyBorder="1" applyAlignment="1">
      <alignment horizontal="center"/>
    </xf>
    <xf numFmtId="0" fontId="1" fillId="0" borderId="0" xfId="0" applyFont="1"/>
    <xf numFmtId="169" fontId="14" fillId="0" borderId="11" xfId="41" applyFont="1" applyBorder="1" applyAlignment="1">
      <alignment horizontal="left"/>
    </xf>
    <xf numFmtId="169" fontId="33" fillId="0" borderId="11" xfId="41" applyFont="1" applyBorder="1"/>
    <xf numFmtId="169" fontId="1" fillId="0" borderId="11" xfId="41" applyFont="1" applyBorder="1" applyAlignment="1">
      <alignment horizontal="right"/>
    </xf>
    <xf numFmtId="169" fontId="1" fillId="0" borderId="11" xfId="41" applyFont="1" applyBorder="1" applyAlignment="1">
      <alignment horizontal="left"/>
    </xf>
    <xf numFmtId="37" fontId="14" fillId="0" borderId="30" xfId="41" applyNumberFormat="1" applyFont="1" applyBorder="1" applyAlignment="1">
      <alignment horizontal="center"/>
    </xf>
    <xf numFmtId="37" fontId="14" fillId="0" borderId="31" xfId="41" applyNumberFormat="1" applyFont="1" applyBorder="1" applyAlignment="1">
      <alignment horizontal="center"/>
    </xf>
    <xf numFmtId="37" fontId="1" fillId="0" borderId="32" xfId="41" applyNumberFormat="1" applyFont="1" applyBorder="1"/>
    <xf numFmtId="169" fontId="36" fillId="0" borderId="0" xfId="41" applyFont="1" applyAlignment="1">
      <alignment horizontal="left"/>
    </xf>
    <xf numFmtId="6" fontId="1" fillId="0" borderId="0" xfId="41" applyNumberFormat="1" applyFont="1" applyAlignment="1">
      <alignment horizontal="right"/>
    </xf>
    <xf numFmtId="6" fontId="33" fillId="0" borderId="0" xfId="41" applyNumberFormat="1" applyFont="1"/>
    <xf numFmtId="37" fontId="1" fillId="0" borderId="11" xfId="41" applyNumberFormat="1" applyFont="1" applyBorder="1"/>
    <xf numFmtId="37" fontId="33" fillId="0" borderId="11" xfId="41" applyNumberFormat="1" applyFont="1" applyBorder="1"/>
    <xf numFmtId="6" fontId="1" fillId="0" borderId="11" xfId="41" applyNumberFormat="1" applyFont="1" applyBorder="1" applyAlignment="1">
      <alignment horizontal="right"/>
    </xf>
    <xf numFmtId="169" fontId="36" fillId="0" borderId="33" xfId="41" applyFont="1" applyBorder="1" applyAlignment="1">
      <alignment horizontal="left"/>
    </xf>
    <xf numFmtId="169" fontId="37" fillId="0" borderId="0" xfId="41" applyFont="1"/>
    <xf numFmtId="169" fontId="14" fillId="0" borderId="0" xfId="41" applyFont="1" applyAlignment="1">
      <alignment horizontal="right"/>
    </xf>
    <xf numFmtId="5" fontId="14" fillId="0" borderId="34" xfId="41" applyNumberFormat="1" applyFont="1" applyBorder="1"/>
    <xf numFmtId="5" fontId="14" fillId="0" borderId="11" xfId="41" applyNumberFormat="1" applyFont="1" applyBorder="1"/>
    <xf numFmtId="5" fontId="33" fillId="0" borderId="0" xfId="41" applyNumberFormat="1" applyFont="1"/>
    <xf numFmtId="169" fontId="1" fillId="0" borderId="11" xfId="41" applyFont="1" applyBorder="1"/>
    <xf numFmtId="10" fontId="1" fillId="0" borderId="11" xfId="41" applyNumberFormat="1" applyFont="1" applyBorder="1" applyAlignment="1">
      <alignment horizontal="right"/>
    </xf>
    <xf numFmtId="169" fontId="36" fillId="0" borderId="11" xfId="41" applyFont="1" applyBorder="1" applyAlignment="1">
      <alignment horizontal="left"/>
    </xf>
    <xf numFmtId="44" fontId="33" fillId="0" borderId="0" xfId="30" applyFont="1"/>
    <xf numFmtId="168" fontId="36" fillId="0" borderId="0" xfId="30" applyNumberFormat="1" applyFont="1" applyAlignment="1" applyProtection="1">
      <alignment horizontal="right"/>
    </xf>
    <xf numFmtId="169" fontId="38" fillId="0" borderId="0" xfId="41" applyFont="1"/>
    <xf numFmtId="169" fontId="1" fillId="0" borderId="35" xfId="41" applyFont="1" applyBorder="1" applyAlignment="1">
      <alignment horizontal="left"/>
    </xf>
    <xf numFmtId="169" fontId="33" fillId="0" borderId="35" xfId="41" applyFont="1" applyBorder="1"/>
    <xf numFmtId="168" fontId="36" fillId="0" borderId="35" xfId="30" applyNumberFormat="1" applyFont="1" applyBorder="1" applyAlignment="1" applyProtection="1">
      <alignment horizontal="right"/>
    </xf>
    <xf numFmtId="169" fontId="14" fillId="0" borderId="35" xfId="41" applyFont="1" applyBorder="1" applyAlignment="1">
      <alignment horizontal="right"/>
    </xf>
    <xf numFmtId="168" fontId="33" fillId="0" borderId="0" xfId="30" applyNumberFormat="1" applyFont="1" applyBorder="1"/>
    <xf numFmtId="169" fontId="33" fillId="0" borderId="36" xfId="41" applyFont="1" applyBorder="1"/>
    <xf numFmtId="168" fontId="36" fillId="0" borderId="36" xfId="30" applyNumberFormat="1" applyFont="1" applyBorder="1" applyAlignment="1" applyProtection="1">
      <alignment horizontal="right"/>
    </xf>
    <xf numFmtId="169" fontId="14" fillId="0" borderId="36" xfId="41" applyFont="1" applyBorder="1" applyAlignment="1">
      <alignment horizontal="right"/>
    </xf>
    <xf numFmtId="168" fontId="36" fillId="0" borderId="0" xfId="30" applyNumberFormat="1" applyFont="1" applyBorder="1" applyAlignment="1" applyProtection="1">
      <alignment horizontal="right"/>
    </xf>
    <xf numFmtId="169" fontId="14" fillId="0" borderId="0" xfId="41" applyFont="1"/>
    <xf numFmtId="10" fontId="14" fillId="0" borderId="0" xfId="41" applyNumberFormat="1" applyFont="1" applyAlignment="1">
      <alignment horizontal="right"/>
    </xf>
    <xf numFmtId="37" fontId="1" fillId="0" borderId="37" xfId="41" applyNumberFormat="1" applyFont="1" applyBorder="1"/>
    <xf numFmtId="169" fontId="14" fillId="0" borderId="0" xfId="41" applyFont="1" applyAlignment="1">
      <alignment horizontal="left"/>
    </xf>
    <xf numFmtId="169" fontId="33" fillId="0" borderId="0" xfId="41" quotePrefix="1" applyFont="1"/>
    <xf numFmtId="37" fontId="1" fillId="0" borderId="38" xfId="41" applyNumberFormat="1" applyFont="1" applyBorder="1"/>
    <xf numFmtId="169" fontId="14" fillId="0" borderId="35" xfId="41" applyFont="1" applyBorder="1" applyAlignment="1">
      <alignment horizontal="left"/>
    </xf>
    <xf numFmtId="169" fontId="37" fillId="0" borderId="35" xfId="41" applyFont="1" applyBorder="1"/>
    <xf numFmtId="10" fontId="39" fillId="0" borderId="35" xfId="41" applyNumberFormat="1" applyFont="1" applyBorder="1" applyAlignment="1">
      <alignment horizontal="right"/>
    </xf>
    <xf numFmtId="9" fontId="1" fillId="18" borderId="0" xfId="47" applyFont="1" applyFill="1"/>
    <xf numFmtId="9" fontId="1" fillId="20" borderId="0" xfId="47" applyFont="1" applyFill="1"/>
    <xf numFmtId="38" fontId="32" fillId="0" borderId="0" xfId="0" applyNumberFormat="1" applyFont="1"/>
    <xf numFmtId="38" fontId="3" fillId="0" borderId="0" xfId="0" applyNumberFormat="1" applyFont="1"/>
    <xf numFmtId="38" fontId="1" fillId="0" borderId="0" xfId="0" applyNumberFormat="1" applyFont="1"/>
    <xf numFmtId="9" fontId="1" fillId="21" borderId="0" xfId="47" applyFont="1" applyFill="1"/>
    <xf numFmtId="5" fontId="1" fillId="22" borderId="0" xfId="28" applyNumberFormat="1" applyFont="1" applyFill="1"/>
    <xf numFmtId="169" fontId="14" fillId="0" borderId="11" xfId="41" applyFont="1" applyBorder="1"/>
    <xf numFmtId="169" fontId="38" fillId="0" borderId="11" xfId="41" applyFont="1" applyBorder="1"/>
    <xf numFmtId="6" fontId="9" fillId="0" borderId="0" xfId="43" applyNumberFormat="1" applyFont="1" applyAlignment="1">
      <alignment vertical="center"/>
    </xf>
    <xf numFmtId="0" fontId="14" fillId="0" borderId="14" xfId="0" applyFont="1" applyBorder="1" applyAlignment="1">
      <alignment horizontal="center"/>
    </xf>
    <xf numFmtId="6" fontId="3" fillId="0" borderId="17" xfId="0" applyNumberFormat="1" applyFont="1" applyBorder="1"/>
    <xf numFmtId="10" fontId="3" fillId="0" borderId="0" xfId="47" applyNumberFormat="1" applyFont="1"/>
    <xf numFmtId="38" fontId="0" fillId="0" borderId="0" xfId="0" applyNumberFormat="1"/>
    <xf numFmtId="9" fontId="0" fillId="18" borderId="0" xfId="47" applyFont="1" applyFill="1"/>
    <xf numFmtId="10" fontId="0" fillId="18" borderId="0" xfId="47" applyNumberFormat="1" applyFont="1" applyFill="1"/>
    <xf numFmtId="6" fontId="39" fillId="0" borderId="35" xfId="41" applyNumberFormat="1" applyFont="1" applyBorder="1" applyAlignment="1">
      <alignment horizontal="left"/>
    </xf>
    <xf numFmtId="6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6" fontId="1" fillId="0" borderId="0" xfId="0" applyNumberFormat="1" applyFont="1"/>
    <xf numFmtId="37" fontId="1" fillId="0" borderId="0" xfId="0" applyNumberFormat="1" applyFont="1"/>
    <xf numFmtId="8" fontId="0" fillId="18" borderId="0" xfId="0" applyNumberFormat="1" applyFill="1"/>
    <xf numFmtId="0" fontId="0" fillId="0" borderId="11" xfId="0" applyBorder="1" applyAlignment="1">
      <alignment horizontal="center"/>
    </xf>
    <xf numFmtId="6" fontId="14" fillId="0" borderId="39" xfId="41" applyNumberFormat="1" applyFont="1" applyBorder="1"/>
    <xf numFmtId="0" fontId="3" fillId="0" borderId="11" xfId="0" applyFont="1" applyBorder="1" applyAlignment="1">
      <alignment horizontal="center"/>
    </xf>
    <xf numFmtId="10" fontId="0" fillId="18" borderId="0" xfId="0" applyNumberFormat="1" applyFill="1"/>
    <xf numFmtId="6" fontId="0" fillId="0" borderId="0" xfId="0" applyNumberFormat="1" applyAlignment="1">
      <alignment horizontal="left"/>
    </xf>
    <xf numFmtId="0" fontId="0" fillId="18" borderId="10" xfId="0" applyFill="1" applyBorder="1" applyAlignment="1">
      <alignment wrapText="1"/>
    </xf>
    <xf numFmtId="169" fontId="12" fillId="0" borderId="0" xfId="41" applyFont="1"/>
    <xf numFmtId="0" fontId="3" fillId="0" borderId="0" xfId="0" applyFont="1" applyAlignment="1">
      <alignment horizontal="left"/>
    </xf>
    <xf numFmtId="6" fontId="44" fillId="0" borderId="0" xfId="0" applyNumberFormat="1" applyFont="1"/>
    <xf numFmtId="6" fontId="45" fillId="0" borderId="0" xfId="0" applyNumberFormat="1" applyFont="1"/>
    <xf numFmtId="0" fontId="0" fillId="0" borderId="14" xfId="0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169" fontId="47" fillId="0" borderId="0" xfId="0" applyNumberFormat="1" applyFont="1" applyAlignment="1">
      <alignment vertical="center"/>
    </xf>
    <xf numFmtId="169" fontId="49" fillId="0" borderId="11" xfId="42" applyFont="1" applyBorder="1"/>
    <xf numFmtId="0" fontId="50" fillId="0" borderId="11" xfId="0" applyFont="1" applyBorder="1" applyAlignment="1">
      <alignment horizontal="center" wrapText="1"/>
    </xf>
    <xf numFmtId="0" fontId="51" fillId="0" borderId="11" xfId="0" applyFont="1" applyBorder="1" applyAlignment="1">
      <alignment horizontal="center" wrapText="1"/>
    </xf>
    <xf numFmtId="0" fontId="52" fillId="0" borderId="40" xfId="0" applyFont="1" applyBorder="1" applyAlignment="1">
      <alignment horizontal="left" wrapText="1" indent="1"/>
    </xf>
    <xf numFmtId="0" fontId="4" fillId="18" borderId="41" xfId="0" applyFont="1" applyFill="1" applyBorder="1" applyAlignment="1">
      <alignment horizontal="left" vertical="center"/>
    </xf>
    <xf numFmtId="6" fontId="52" fillId="18" borderId="41" xfId="0" applyNumberFormat="1" applyFont="1" applyFill="1" applyBorder="1" applyAlignment="1">
      <alignment horizontal="left" vertical="center"/>
    </xf>
    <xf numFmtId="0" fontId="4" fillId="18" borderId="41" xfId="0" applyFont="1" applyFill="1" applyBorder="1" applyAlignment="1">
      <alignment horizontal="right" wrapText="1"/>
    </xf>
    <xf numFmtId="8" fontId="4" fillId="18" borderId="40" xfId="0" applyNumberFormat="1" applyFont="1" applyFill="1" applyBorder="1" applyAlignment="1">
      <alignment horizontal="right" wrapText="1"/>
    </xf>
    <xf numFmtId="6" fontId="52" fillId="0" borderId="42" xfId="0" applyNumberFormat="1" applyFont="1" applyBorder="1" applyAlignment="1">
      <alignment horizontal="right" wrapText="1"/>
    </xf>
    <xf numFmtId="0" fontId="52" fillId="0" borderId="43" xfId="0" applyFont="1" applyBorder="1" applyAlignment="1">
      <alignment horizontal="left" wrapText="1" indent="1"/>
    </xf>
    <xf numFmtId="0" fontId="4" fillId="18" borderId="1" xfId="0" applyFont="1" applyFill="1" applyBorder="1" applyAlignment="1">
      <alignment horizontal="left" vertical="center"/>
    </xf>
    <xf numFmtId="6" fontId="52" fillId="18" borderId="1" xfId="0" applyNumberFormat="1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right" wrapText="1"/>
    </xf>
    <xf numFmtId="8" fontId="4" fillId="18" borderId="43" xfId="0" applyNumberFormat="1" applyFont="1" applyFill="1" applyBorder="1" applyAlignment="1">
      <alignment horizontal="right" wrapText="1"/>
    </xf>
    <xf numFmtId="0" fontId="54" fillId="18" borderId="1" xfId="0" applyFont="1" applyFill="1" applyBorder="1" applyAlignment="1">
      <alignment horizontal="left" vertical="center"/>
    </xf>
    <xf numFmtId="0" fontId="3" fillId="18" borderId="1" xfId="0" applyFont="1" applyFill="1" applyBorder="1" applyAlignment="1">
      <alignment horizontal="left" vertical="center"/>
    </xf>
    <xf numFmtId="6" fontId="55" fillId="18" borderId="1" xfId="0" applyNumberFormat="1" applyFont="1" applyFill="1" applyBorder="1" applyAlignment="1">
      <alignment horizontal="left" vertical="center"/>
    </xf>
    <xf numFmtId="0" fontId="3" fillId="18" borderId="1" xfId="0" applyFont="1" applyFill="1" applyBorder="1" applyAlignment="1">
      <alignment horizontal="right" wrapText="1"/>
    </xf>
    <xf numFmtId="8" fontId="3" fillId="18" borderId="43" xfId="0" applyNumberFormat="1" applyFont="1" applyFill="1" applyBorder="1" applyAlignment="1">
      <alignment horizontal="right" wrapText="1"/>
    </xf>
    <xf numFmtId="6" fontId="55" fillId="0" borderId="42" xfId="0" applyNumberFormat="1" applyFont="1" applyBorder="1" applyAlignment="1">
      <alignment horizontal="right" wrapText="1"/>
    </xf>
    <xf numFmtId="0" fontId="4" fillId="0" borderId="43" xfId="0" applyFont="1" applyBorder="1" applyAlignment="1">
      <alignment horizontal="left" indent="1"/>
    </xf>
    <xf numFmtId="0" fontId="55" fillId="0" borderId="43" xfId="0" applyFont="1" applyBorder="1" applyAlignment="1">
      <alignment horizontal="left" wrapText="1" indent="1"/>
    </xf>
    <xf numFmtId="0" fontId="56" fillId="18" borderId="1" xfId="0" applyFont="1" applyFill="1" applyBorder="1" applyAlignment="1">
      <alignment horizontal="left" vertical="center"/>
    </xf>
    <xf numFmtId="0" fontId="52" fillId="0" borderId="44" xfId="0" applyFont="1" applyBorder="1" applyAlignment="1">
      <alignment horizontal="left" wrapText="1" indent="1"/>
    </xf>
    <xf numFmtId="0" fontId="4" fillId="18" borderId="45" xfId="0" applyFont="1" applyFill="1" applyBorder="1" applyAlignment="1">
      <alignment horizontal="left" vertical="center"/>
    </xf>
    <xf numFmtId="6" fontId="52" fillId="18" borderId="45" xfId="0" applyNumberFormat="1" applyFont="1" applyFill="1" applyBorder="1" applyAlignment="1">
      <alignment horizontal="left" vertical="center"/>
    </xf>
    <xf numFmtId="0" fontId="4" fillId="18" borderId="45" xfId="0" applyFont="1" applyFill="1" applyBorder="1" applyAlignment="1">
      <alignment horizontal="right" wrapText="1"/>
    </xf>
    <xf numFmtId="8" fontId="4" fillId="18" borderId="44" xfId="0" applyNumberFormat="1" applyFont="1" applyFill="1" applyBorder="1" applyAlignment="1">
      <alignment horizontal="right" wrapText="1"/>
    </xf>
    <xf numFmtId="0" fontId="52" fillId="0" borderId="46" xfId="0" applyFont="1" applyBorder="1" applyAlignment="1">
      <alignment horizontal="left" wrapText="1" indent="1"/>
    </xf>
    <xf numFmtId="0" fontId="4" fillId="18" borderId="47" xfId="0" applyFont="1" applyFill="1" applyBorder="1" applyAlignment="1">
      <alignment horizontal="left" vertical="center"/>
    </xf>
    <xf numFmtId="6" fontId="52" fillId="18" borderId="47" xfId="0" applyNumberFormat="1" applyFont="1" applyFill="1" applyBorder="1" applyAlignment="1">
      <alignment horizontal="left" vertical="center"/>
    </xf>
    <xf numFmtId="0" fontId="4" fillId="18" borderId="47" xfId="0" applyFont="1" applyFill="1" applyBorder="1" applyAlignment="1">
      <alignment horizontal="right" wrapText="1"/>
    </xf>
    <xf numFmtId="8" fontId="4" fillId="18" borderId="46" xfId="0" applyNumberFormat="1" applyFont="1" applyFill="1" applyBorder="1" applyAlignment="1">
      <alignment horizontal="right" wrapText="1"/>
    </xf>
    <xf numFmtId="6" fontId="52" fillId="0" borderId="48" xfId="0" applyNumberFormat="1" applyFont="1" applyBorder="1" applyAlignment="1">
      <alignment horizontal="right" wrapText="1"/>
    </xf>
    <xf numFmtId="0" fontId="57" fillId="0" borderId="36" xfId="0" applyFont="1" applyBorder="1" applyAlignment="1">
      <alignment horizontal="right" vertical="center" wrapText="1"/>
    </xf>
    <xf numFmtId="8" fontId="51" fillId="0" borderId="36" xfId="0" applyNumberFormat="1" applyFont="1" applyBorder="1" applyAlignment="1">
      <alignment horizontal="right" vertical="center" wrapText="1"/>
    </xf>
    <xf numFmtId="0" fontId="0" fillId="0" borderId="36" xfId="0" applyBorder="1" applyAlignment="1">
      <alignment vertical="center"/>
    </xf>
    <xf numFmtId="6" fontId="57" fillId="0" borderId="36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43" fontId="12" fillId="0" borderId="11" xfId="28" applyFont="1" applyFill="1" applyBorder="1" applyAlignment="1">
      <alignment horizontal="center" vertical="center"/>
    </xf>
    <xf numFmtId="169" fontId="4" fillId="0" borderId="15" xfId="42" applyFont="1" applyBorder="1" applyAlignment="1">
      <alignment horizontal="left" vertical="center" indent="1"/>
    </xf>
    <xf numFmtId="169" fontId="4" fillId="0" borderId="14" xfId="42" applyFont="1" applyBorder="1" applyAlignment="1">
      <alignment horizontal="left" vertical="center" indent="1"/>
    </xf>
    <xf numFmtId="166" fontId="59" fillId="18" borderId="17" xfId="28" applyNumberFormat="1" applyFont="1" applyFill="1" applyBorder="1" applyAlignment="1">
      <alignment horizontal="center" vertical="center"/>
    </xf>
    <xf numFmtId="166" fontId="59" fillId="18" borderId="19" xfId="28" applyNumberFormat="1" applyFont="1" applyFill="1" applyBorder="1" applyAlignment="1">
      <alignment horizontal="center" vertical="center"/>
    </xf>
    <xf numFmtId="43" fontId="60" fillId="0" borderId="36" xfId="28" applyFont="1" applyBorder="1" applyAlignment="1">
      <alignment horizontal="center" vertical="center"/>
    </xf>
    <xf numFmtId="169" fontId="48" fillId="0" borderId="0" xfId="42"/>
    <xf numFmtId="43" fontId="48" fillId="0" borderId="0" xfId="28" applyFont="1" applyBorder="1" applyAlignment="1">
      <alignment horizontal="center"/>
    </xf>
    <xf numFmtId="0" fontId="65" fillId="23" borderId="0" xfId="0" applyFont="1" applyFill="1"/>
    <xf numFmtId="167" fontId="65" fillId="23" borderId="0" xfId="0" applyNumberFormat="1" applyFont="1" applyFill="1" applyAlignment="1">
      <alignment horizontal="center"/>
    </xf>
    <xf numFmtId="169" fontId="4" fillId="0" borderId="0" xfId="41" applyFont="1" applyAlignment="1">
      <alignment horizontal="left"/>
    </xf>
    <xf numFmtId="37" fontId="4" fillId="0" borderId="32" xfId="41" applyNumberFormat="1" applyFont="1" applyBorder="1"/>
    <xf numFmtId="9" fontId="4" fillId="18" borderId="0" xfId="47" applyFont="1" applyFill="1"/>
    <xf numFmtId="169" fontId="41" fillId="0" borderId="0" xfId="41" applyFont="1" applyAlignment="1">
      <alignment horizontal="left"/>
    </xf>
    <xf numFmtId="7" fontId="4" fillId="0" borderId="0" xfId="30" applyNumberFormat="1" applyFont="1" applyFill="1" applyBorder="1" applyAlignment="1" applyProtection="1">
      <alignment horizontal="right"/>
    </xf>
    <xf numFmtId="37" fontId="4" fillId="0" borderId="25" xfId="41" applyNumberFormat="1" applyFont="1" applyBorder="1"/>
    <xf numFmtId="169" fontId="61" fillId="23" borderId="0" xfId="41" applyFont="1" applyFill="1" applyAlignment="1">
      <alignment horizontal="left"/>
    </xf>
    <xf numFmtId="49" fontId="65" fillId="18" borderId="10" xfId="0" applyNumberFormat="1" applyFont="1" applyFill="1" applyBorder="1"/>
    <xf numFmtId="0" fontId="65" fillId="18" borderId="25" xfId="0" applyFont="1" applyFill="1" applyBorder="1"/>
    <xf numFmtId="49" fontId="65" fillId="18" borderId="25" xfId="0" applyNumberFormat="1" applyFont="1" applyFill="1" applyBorder="1"/>
    <xf numFmtId="0" fontId="0" fillId="23" borderId="0" xfId="0" applyFill="1"/>
    <xf numFmtId="0" fontId="3" fillId="23" borderId="0" xfId="0" applyFont="1" applyFill="1" applyAlignment="1">
      <alignment horizontal="right"/>
    </xf>
    <xf numFmtId="0" fontId="4" fillId="18" borderId="25" xfId="0" applyFont="1" applyFill="1" applyBorder="1" applyProtection="1">
      <protection locked="0"/>
    </xf>
    <xf numFmtId="0" fontId="4" fillId="23" borderId="0" xfId="0" applyFont="1" applyFill="1"/>
    <xf numFmtId="0" fontId="4" fillId="23" borderId="0" xfId="0" applyFont="1" applyFill="1" applyAlignment="1">
      <alignment horizontal="center"/>
    </xf>
    <xf numFmtId="0" fontId="65" fillId="18" borderId="10" xfId="0" applyFont="1" applyFill="1" applyBorder="1"/>
    <xf numFmtId="0" fontId="65" fillId="23" borderId="0" xfId="0" applyFont="1" applyFill="1" applyAlignment="1">
      <alignment horizontal="right"/>
    </xf>
    <xf numFmtId="0" fontId="65" fillId="18" borderId="10" xfId="0" applyFont="1" applyFill="1" applyBorder="1" applyAlignment="1" applyProtection="1">
      <alignment horizontal="center"/>
      <protection locked="0"/>
    </xf>
    <xf numFmtId="0" fontId="68" fillId="23" borderId="0" xfId="0" applyFont="1" applyFill="1"/>
    <xf numFmtId="0" fontId="4" fillId="23" borderId="0" xfId="0" applyFont="1" applyFill="1" applyAlignment="1">
      <alignment horizontal="left" indent="4"/>
    </xf>
    <xf numFmtId="164" fontId="4" fillId="23" borderId="0" xfId="47" applyNumberFormat="1" applyFont="1" applyFill="1" applyBorder="1" applyAlignment="1" applyProtection="1">
      <alignment horizontal="center"/>
      <protection locked="0"/>
    </xf>
    <xf numFmtId="0" fontId="4" fillId="23" borderId="0" xfId="0" applyFont="1" applyFill="1" applyAlignment="1">
      <alignment horizontal="left"/>
    </xf>
    <xf numFmtId="6" fontId="4" fillId="23" borderId="0" xfId="0" applyNumberFormat="1" applyFont="1" applyFill="1"/>
    <xf numFmtId="8" fontId="4" fillId="23" borderId="0" xfId="0" applyNumberFormat="1" applyFont="1" applyFill="1"/>
    <xf numFmtId="170" fontId="4" fillId="23" borderId="0" xfId="0" applyNumberFormat="1" applyFont="1" applyFill="1" applyAlignment="1">
      <alignment horizontal="center"/>
    </xf>
    <xf numFmtId="2" fontId="62" fillId="23" borderId="0" xfId="47" applyNumberFormat="1" applyFont="1" applyFill="1" applyBorder="1" applyAlignment="1">
      <alignment horizontal="left"/>
    </xf>
    <xf numFmtId="167" fontId="4" fillId="23" borderId="0" xfId="0" applyNumberFormat="1" applyFont="1" applyFill="1"/>
    <xf numFmtId="167" fontId="3" fillId="23" borderId="0" xfId="47" applyNumberFormat="1" applyFont="1" applyFill="1" applyBorder="1" applyAlignment="1">
      <alignment horizontal="center"/>
    </xf>
    <xf numFmtId="167" fontId="65" fillId="23" borderId="0" xfId="0" applyNumberFormat="1" applyFont="1" applyFill="1"/>
    <xf numFmtId="8" fontId="68" fillId="23" borderId="0" xfId="0" applyNumberFormat="1" applyFont="1" applyFill="1"/>
    <xf numFmtId="0" fontId="0" fillId="23" borderId="0" xfId="0" applyFill="1" applyAlignment="1">
      <alignment horizontal="center"/>
    </xf>
    <xf numFmtId="0" fontId="4" fillId="18" borderId="10" xfId="0" applyFont="1" applyFill="1" applyBorder="1" applyProtection="1">
      <protection locked="0"/>
    </xf>
    <xf numFmtId="0" fontId="4" fillId="18" borderId="10" xfId="0" applyFont="1" applyFill="1" applyBorder="1" applyAlignment="1" applyProtection="1">
      <alignment horizontal="center"/>
      <protection locked="0"/>
    </xf>
    <xf numFmtId="6" fontId="0" fillId="0" borderId="27" xfId="0" applyNumberFormat="1" applyBorder="1"/>
    <xf numFmtId="6" fontId="0" fillId="0" borderId="15" xfId="0" applyNumberFormat="1" applyBorder="1"/>
    <xf numFmtId="6" fontId="4" fillId="23" borderId="11" xfId="0" applyNumberFormat="1" applyFont="1" applyFill="1" applyBorder="1"/>
    <xf numFmtId="6" fontId="0" fillId="23" borderId="11" xfId="0" applyNumberFormat="1" applyFill="1" applyBorder="1"/>
    <xf numFmtId="10" fontId="63" fillId="23" borderId="11" xfId="47" applyNumberFormat="1" applyFont="1" applyFill="1" applyBorder="1"/>
    <xf numFmtId="10" fontId="0" fillId="23" borderId="0" xfId="0" applyNumberFormat="1" applyFill="1"/>
    <xf numFmtId="49" fontId="0" fillId="0" borderId="0" xfId="0" applyNumberFormat="1" applyAlignment="1">
      <alignment horizontal="left"/>
    </xf>
    <xf numFmtId="0" fontId="3" fillId="23" borderId="0" xfId="0" applyFont="1" applyFill="1"/>
    <xf numFmtId="6" fontId="0" fillId="23" borderId="0" xfId="0" applyNumberFormat="1" applyFill="1"/>
    <xf numFmtId="0" fontId="0" fillId="23" borderId="11" xfId="0" applyFill="1" applyBorder="1"/>
    <xf numFmtId="6" fontId="3" fillId="23" borderId="0" xfId="0" applyNumberFormat="1" applyFont="1" applyFill="1"/>
    <xf numFmtId="6" fontId="3" fillId="23" borderId="11" xfId="0" applyNumberFormat="1" applyFont="1" applyFill="1" applyBorder="1"/>
    <xf numFmtId="6" fontId="0" fillId="23" borderId="13" xfId="0" applyNumberFormat="1" applyFill="1" applyBorder="1"/>
    <xf numFmtId="0" fontId="0" fillId="23" borderId="13" xfId="0" applyFill="1" applyBorder="1"/>
    <xf numFmtId="6" fontId="4" fillId="23" borderId="13" xfId="0" applyNumberFormat="1" applyFont="1" applyFill="1" applyBorder="1"/>
    <xf numFmtId="0" fontId="67" fillId="23" borderId="0" xfId="0" applyFont="1" applyFill="1" applyAlignment="1">
      <alignment horizontal="center" wrapText="1"/>
    </xf>
    <xf numFmtId="0" fontId="67" fillId="23" borderId="0" xfId="0" applyFont="1" applyFill="1" applyAlignment="1">
      <alignment horizontal="center"/>
    </xf>
    <xf numFmtId="0" fontId="67" fillId="19" borderId="0" xfId="0" applyFont="1" applyFill="1" applyAlignment="1" applyProtection="1">
      <alignment horizontal="center"/>
      <protection locked="0"/>
    </xf>
    <xf numFmtId="167" fontId="67" fillId="23" borderId="0" xfId="0" applyNumberFormat="1" applyFont="1" applyFill="1" applyAlignment="1">
      <alignment horizontal="center"/>
    </xf>
    <xf numFmtId="167" fontId="67" fillId="23" borderId="10" xfId="0" applyNumberFormat="1" applyFont="1" applyFill="1" applyBorder="1" applyAlignment="1">
      <alignment horizontal="center"/>
    </xf>
    <xf numFmtId="10" fontId="67" fillId="23" borderId="0" xfId="0" applyNumberFormat="1" applyFont="1" applyFill="1"/>
    <xf numFmtId="167" fontId="66" fillId="23" borderId="0" xfId="0" applyNumberFormat="1" applyFont="1" applyFill="1" applyAlignment="1">
      <alignment horizontal="center" vertical="center"/>
    </xf>
    <xf numFmtId="0" fontId="4" fillId="23" borderId="0" xfId="0" applyFont="1" applyFill="1" applyAlignment="1">
      <alignment horizontal="right"/>
    </xf>
    <xf numFmtId="0" fontId="67" fillId="23" borderId="0" xfId="0" applyFont="1" applyFill="1" applyAlignment="1" applyProtection="1">
      <alignment horizontal="center"/>
      <protection locked="0"/>
    </xf>
    <xf numFmtId="38" fontId="3" fillId="0" borderId="0" xfId="0" applyNumberFormat="1" applyFont="1" applyAlignment="1">
      <alignment horizontal="center"/>
    </xf>
    <xf numFmtId="167" fontId="1" fillId="0" borderId="0" xfId="0" applyNumberFormat="1" applyFont="1"/>
    <xf numFmtId="167" fontId="4" fillId="0" borderId="0" xfId="0" applyNumberFormat="1" applyFont="1"/>
    <xf numFmtId="169" fontId="3" fillId="0" borderId="0" xfId="41" applyFont="1"/>
    <xf numFmtId="6" fontId="3" fillId="23" borderId="0" xfId="0" applyNumberFormat="1" applyFont="1" applyFill="1" applyAlignment="1">
      <alignment horizontal="center"/>
    </xf>
    <xf numFmtId="6" fontId="70" fillId="23" borderId="11" xfId="0" applyNumberFormat="1" applyFont="1" applyFill="1" applyBorder="1" applyAlignment="1">
      <alignment vertical="center"/>
    </xf>
    <xf numFmtId="0" fontId="71" fillId="23" borderId="11" xfId="0" applyFont="1" applyFill="1" applyBorder="1" applyAlignment="1">
      <alignment vertical="center"/>
    </xf>
    <xf numFmtId="0" fontId="71" fillId="23" borderId="0" xfId="0" applyFont="1" applyFill="1" applyAlignment="1">
      <alignment vertical="center"/>
    </xf>
    <xf numFmtId="0" fontId="61" fillId="23" borderId="0" xfId="0" applyFont="1" applyFill="1"/>
    <xf numFmtId="6" fontId="61" fillId="23" borderId="0" xfId="0" applyNumberFormat="1" applyFont="1" applyFill="1"/>
    <xf numFmtId="0" fontId="4" fillId="23" borderId="10" xfId="0" applyFont="1" applyFill="1" applyBorder="1" applyAlignment="1">
      <alignment horizontal="center"/>
    </xf>
    <xf numFmtId="1" fontId="4" fillId="23" borderId="0" xfId="0" applyNumberFormat="1" applyFont="1" applyFill="1" applyAlignment="1">
      <alignment horizontal="center"/>
    </xf>
    <xf numFmtId="6" fontId="4" fillId="23" borderId="0" xfId="0" applyNumberFormat="1" applyFont="1" applyFill="1" applyAlignment="1">
      <alignment horizontal="center"/>
    </xf>
    <xf numFmtId="0" fontId="0" fillId="0" borderId="0" xfId="0" applyAlignment="1">
      <alignment horizontal="center" wrapText="1"/>
    </xf>
    <xf numFmtId="0" fontId="3" fillId="23" borderId="0" xfId="0" applyFont="1" applyFill="1" applyAlignment="1">
      <alignment horizontal="center" wrapText="1"/>
    </xf>
    <xf numFmtId="0" fontId="4" fillId="23" borderId="0" xfId="0" applyFont="1" applyFill="1" applyAlignment="1">
      <alignment horizontal="center" wrapText="1"/>
    </xf>
    <xf numFmtId="0" fontId="0" fillId="23" borderId="0" xfId="0" applyFill="1" applyAlignment="1">
      <alignment horizontal="center" wrapText="1"/>
    </xf>
    <xf numFmtId="0" fontId="72" fillId="23" borderId="0" xfId="0" applyFont="1" applyFill="1" applyAlignment="1">
      <alignment horizontal="center" wrapText="1"/>
    </xf>
    <xf numFmtId="6" fontId="73" fillId="0" borderId="0" xfId="0" applyNumberFormat="1" applyFont="1"/>
    <xf numFmtId="6" fontId="73" fillId="0" borderId="0" xfId="0" applyNumberFormat="1" applyFont="1" applyAlignment="1">
      <alignment horizontal="center"/>
    </xf>
    <xf numFmtId="6" fontId="73" fillId="23" borderId="13" xfId="0" applyNumberFormat="1" applyFont="1" applyFill="1" applyBorder="1"/>
    <xf numFmtId="0" fontId="73" fillId="23" borderId="0" xfId="0" applyFont="1" applyFill="1"/>
    <xf numFmtId="6" fontId="73" fillId="0" borderId="10" xfId="0" applyNumberFormat="1" applyFont="1" applyBorder="1" applyAlignment="1">
      <alignment horizontal="center"/>
    </xf>
    <xf numFmtId="6" fontId="73" fillId="23" borderId="0" xfId="0" applyNumberFormat="1" applyFont="1" applyFill="1"/>
    <xf numFmtId="0" fontId="1" fillId="23" borderId="0" xfId="0" applyFont="1" applyFill="1"/>
    <xf numFmtId="0" fontId="66" fillId="23" borderId="0" xfId="0" applyFont="1" applyFill="1"/>
    <xf numFmtId="0" fontId="74" fillId="23" borderId="0" xfId="0" applyFont="1" applyFill="1" applyAlignment="1">
      <alignment horizontal="center"/>
    </xf>
    <xf numFmtId="0" fontId="75" fillId="23" borderId="0" xfId="0" applyFont="1" applyFill="1" applyAlignment="1">
      <alignment horizontal="center"/>
    </xf>
    <xf numFmtId="0" fontId="74" fillId="23" borderId="0" xfId="0" applyFont="1" applyFill="1"/>
    <xf numFmtId="9" fontId="74" fillId="23" borderId="0" xfId="0" applyNumberFormat="1" applyFont="1" applyFill="1" applyAlignment="1">
      <alignment horizontal="left" indent="2"/>
    </xf>
    <xf numFmtId="0" fontId="74" fillId="23" borderId="24" xfId="0" applyFont="1" applyFill="1" applyBorder="1" applyAlignment="1">
      <alignment horizontal="center"/>
    </xf>
    <xf numFmtId="0" fontId="74" fillId="23" borderId="54" xfId="0" applyFont="1" applyFill="1" applyBorder="1" applyAlignment="1">
      <alignment horizontal="center"/>
    </xf>
    <xf numFmtId="0" fontId="77" fillId="23" borderId="0" xfId="0" applyFont="1" applyFill="1" applyAlignment="1">
      <alignment horizontal="center"/>
    </xf>
    <xf numFmtId="0" fontId="74" fillId="23" borderId="0" xfId="0" applyFont="1" applyFill="1" applyAlignment="1">
      <alignment horizontal="left" indent="2"/>
    </xf>
    <xf numFmtId="0" fontId="75" fillId="23" borderId="0" xfId="0" applyFont="1" applyFill="1"/>
    <xf numFmtId="0" fontId="75" fillId="23" borderId="0" xfId="0" applyFont="1" applyFill="1" applyAlignment="1">
      <alignment horizontal="left" indent="2"/>
    </xf>
    <xf numFmtId="0" fontId="78" fillId="23" borderId="0" xfId="0" applyFont="1" applyFill="1" applyAlignment="1">
      <alignment horizontal="center"/>
    </xf>
    <xf numFmtId="6" fontId="0" fillId="23" borderId="0" xfId="0" applyNumberFormat="1" applyFill="1" applyAlignment="1">
      <alignment horizontal="center"/>
    </xf>
    <xf numFmtId="0" fontId="12" fillId="0" borderId="0" xfId="0" applyFont="1"/>
    <xf numFmtId="0" fontId="61" fillId="0" borderId="0" xfId="0" applyFont="1"/>
    <xf numFmtId="0" fontId="59" fillId="0" borderId="0" xfId="0" applyFont="1" applyAlignment="1">
      <alignment horizontal="right"/>
    </xf>
    <xf numFmtId="0" fontId="79" fillId="0" borderId="0" xfId="0" applyFont="1" applyAlignment="1">
      <alignment horizontal="center"/>
    </xf>
    <xf numFmtId="0" fontId="79" fillId="0" borderId="0" xfId="0" applyFont="1"/>
    <xf numFmtId="0" fontId="69" fillId="23" borderId="0" xfId="0" applyFont="1" applyFill="1"/>
    <xf numFmtId="0" fontId="69" fillId="0" borderId="0" xfId="0" applyFont="1"/>
    <xf numFmtId="3" fontId="4" fillId="23" borderId="0" xfId="0" applyNumberFormat="1" applyFont="1" applyFill="1" applyAlignment="1">
      <alignment horizontal="center"/>
    </xf>
    <xf numFmtId="0" fontId="4" fillId="23" borderId="0" xfId="0" applyFont="1" applyFill="1" applyAlignment="1">
      <alignment horizontal="left" indent="3"/>
    </xf>
    <xf numFmtId="0" fontId="3" fillId="23" borderId="0" xfId="0" applyFont="1" applyFill="1" applyAlignment="1">
      <alignment horizontal="left" indent="3"/>
    </xf>
    <xf numFmtId="6" fontId="81" fillId="23" borderId="0" xfId="0" applyNumberFormat="1" applyFont="1" applyFill="1"/>
    <xf numFmtId="167" fontId="4" fillId="23" borderId="0" xfId="0" applyNumberFormat="1" applyFont="1" applyFill="1" applyAlignment="1">
      <alignment horizontal="center"/>
    </xf>
    <xf numFmtId="170" fontId="41" fillId="23" borderId="13" xfId="0" applyNumberFormat="1" applyFont="1" applyFill="1" applyBorder="1" applyAlignment="1">
      <alignment horizontal="center"/>
    </xf>
    <xf numFmtId="170" fontId="41" fillId="23" borderId="0" xfId="0" applyNumberFormat="1" applyFont="1" applyFill="1" applyAlignment="1">
      <alignment horizontal="center"/>
    </xf>
    <xf numFmtId="170" fontId="42" fillId="23" borderId="0" xfId="0" applyNumberFormat="1" applyFont="1" applyFill="1" applyAlignment="1">
      <alignment horizontal="center"/>
    </xf>
    <xf numFmtId="170" fontId="41" fillId="23" borderId="11" xfId="0" applyNumberFormat="1" applyFont="1" applyFill="1" applyBorder="1" applyAlignment="1">
      <alignment horizontal="center"/>
    </xf>
    <xf numFmtId="9" fontId="0" fillId="23" borderId="11" xfId="0" applyNumberFormat="1" applyFill="1" applyBorder="1"/>
    <xf numFmtId="164" fontId="4" fillId="23" borderId="0" xfId="47" applyNumberFormat="1" applyFont="1" applyFill="1" applyBorder="1" applyAlignment="1">
      <alignment horizontal="center"/>
    </xf>
    <xf numFmtId="0" fontId="9" fillId="0" borderId="0" xfId="43" applyFont="1" applyAlignment="1">
      <alignment horizontal="left" wrapText="1"/>
    </xf>
    <xf numFmtId="6" fontId="3" fillId="23" borderId="0" xfId="0" applyNumberFormat="1" applyFont="1" applyFill="1" applyAlignment="1">
      <alignment horizontal="left"/>
    </xf>
    <xf numFmtId="0" fontId="0" fillId="23" borderId="0" xfId="0" applyFill="1" applyAlignment="1">
      <alignment horizontal="left"/>
    </xf>
    <xf numFmtId="164" fontId="64" fillId="23" borderId="11" xfId="47" applyNumberFormat="1" applyFont="1" applyFill="1" applyBorder="1" applyAlignment="1">
      <alignment horizontal="center" vertical="center"/>
    </xf>
    <xf numFmtId="0" fontId="71" fillId="23" borderId="0" xfId="0" applyFont="1" applyFill="1" applyAlignment="1">
      <alignment horizontal="center" vertical="center"/>
    </xf>
    <xf numFmtId="164" fontId="0" fillId="0" borderId="0" xfId="0" applyNumberFormat="1"/>
    <xf numFmtId="9" fontId="0" fillId="0" borderId="0" xfId="47" applyFont="1"/>
    <xf numFmtId="6" fontId="83" fillId="23" borderId="11" xfId="0" applyNumberFormat="1" applyFont="1" applyFill="1" applyBorder="1" applyAlignment="1">
      <alignment horizontal="center" vertical="center"/>
    </xf>
    <xf numFmtId="6" fontId="80" fillId="23" borderId="0" xfId="0" applyNumberFormat="1" applyFont="1" applyFill="1" applyAlignment="1">
      <alignment horizontal="center"/>
    </xf>
    <xf numFmtId="0" fontId="4" fillId="0" borderId="10" xfId="0" applyFont="1" applyBorder="1" applyAlignment="1">
      <alignment vertical="center"/>
    </xf>
    <xf numFmtId="169" fontId="4" fillId="0" borderId="0" xfId="41" applyFont="1"/>
    <xf numFmtId="169" fontId="4" fillId="0" borderId="11" xfId="41" applyFont="1" applyBorder="1" applyAlignment="1">
      <alignment horizontal="left"/>
    </xf>
    <xf numFmtId="169" fontId="12" fillId="0" borderId="11" xfId="41" applyFont="1" applyBorder="1"/>
    <xf numFmtId="49" fontId="52" fillId="18" borderId="10" xfId="0" applyNumberFormat="1" applyFont="1" applyFill="1" applyBorder="1"/>
    <xf numFmtId="0" fontId="52" fillId="18" borderId="25" xfId="0" applyFont="1" applyFill="1" applyBorder="1"/>
    <xf numFmtId="49" fontId="52" fillId="18" borderId="25" xfId="0" applyNumberFormat="1" applyFont="1" applyFill="1" applyBorder="1"/>
    <xf numFmtId="0" fontId="52" fillId="18" borderId="10" xfId="0" applyFont="1" applyFill="1" applyBorder="1"/>
    <xf numFmtId="0" fontId="0" fillId="26" borderId="0" xfId="0" applyFill="1"/>
    <xf numFmtId="0" fontId="0" fillId="26" borderId="55" xfId="0" applyFill="1" applyBorder="1"/>
    <xf numFmtId="0" fontId="0" fillId="26" borderId="25" xfId="0" applyFill="1" applyBorder="1" applyAlignment="1">
      <alignment horizontal="center"/>
    </xf>
    <xf numFmtId="0" fontId="0" fillId="26" borderId="25" xfId="0" applyFill="1" applyBorder="1" applyAlignment="1">
      <alignment horizontal="right"/>
    </xf>
    <xf numFmtId="3" fontId="4" fillId="26" borderId="54" xfId="0" applyNumberFormat="1" applyFont="1" applyFill="1" applyBorder="1" applyAlignment="1">
      <alignment horizontal="center"/>
    </xf>
    <xf numFmtId="167" fontId="59" fillId="18" borderId="0" xfId="0" applyNumberFormat="1" applyFont="1" applyFill="1"/>
    <xf numFmtId="6" fontId="0" fillId="0" borderId="0" xfId="30" applyNumberFormat="1" applyFont="1" applyBorder="1"/>
    <xf numFmtId="9" fontId="41" fillId="0" borderId="0" xfId="47" applyFont="1" applyAlignment="1">
      <alignment horizontal="right"/>
    </xf>
    <xf numFmtId="0" fontId="41" fillId="0" borderId="0" xfId="0" applyFont="1" applyAlignment="1">
      <alignment horizontal="left"/>
    </xf>
    <xf numFmtId="38" fontId="0" fillId="27" borderId="0" xfId="0" applyNumberFormat="1" applyFill="1"/>
    <xf numFmtId="167" fontId="4" fillId="0" borderId="53" xfId="41" applyNumberFormat="1" applyFont="1" applyBorder="1"/>
    <xf numFmtId="167" fontId="1" fillId="0" borderId="28" xfId="41" applyNumberFormat="1" applyFont="1" applyBorder="1"/>
    <xf numFmtId="167" fontId="1" fillId="0" borderId="49" xfId="41" applyNumberFormat="1" applyFont="1" applyBorder="1"/>
    <xf numFmtId="167" fontId="14" fillId="0" borderId="28" xfId="41" applyNumberFormat="1" applyFont="1" applyBorder="1"/>
    <xf numFmtId="167" fontId="1" fillId="0" borderId="53" xfId="41" applyNumberFormat="1" applyFont="1" applyBorder="1"/>
    <xf numFmtId="38" fontId="0" fillId="18" borderId="14" xfId="0" applyNumberFormat="1" applyFill="1" applyBorder="1" applyAlignment="1">
      <alignment horizontal="right"/>
    </xf>
    <xf numFmtId="38" fontId="0" fillId="18" borderId="0" xfId="0" applyNumberFormat="1" applyFill="1" applyAlignment="1">
      <alignment horizontal="right"/>
    </xf>
    <xf numFmtId="38" fontId="0" fillId="18" borderId="19" xfId="0" applyNumberFormat="1" applyFill="1" applyBorder="1" applyAlignment="1">
      <alignment horizontal="right"/>
    </xf>
    <xf numFmtId="38" fontId="0" fillId="18" borderId="16" xfId="0" applyNumberFormat="1" applyFill="1" applyBorder="1" applyAlignment="1">
      <alignment horizontal="right"/>
    </xf>
    <xf numFmtId="38" fontId="0" fillId="18" borderId="10" xfId="0" applyNumberFormat="1" applyFill="1" applyBorder="1" applyAlignment="1">
      <alignment horizontal="right"/>
    </xf>
    <xf numFmtId="38" fontId="0" fillId="18" borderId="17" xfId="0" applyNumberFormat="1" applyFill="1" applyBorder="1" applyAlignment="1">
      <alignment horizontal="right"/>
    </xf>
    <xf numFmtId="6" fontId="0" fillId="18" borderId="0" xfId="0" applyNumberFormat="1" applyFill="1" applyAlignment="1">
      <alignment horizontal="right"/>
    </xf>
    <xf numFmtId="6" fontId="0" fillId="23" borderId="13" xfId="0" applyNumberFormat="1" applyFill="1" applyBorder="1" applyAlignment="1">
      <alignment horizontal="right"/>
    </xf>
    <xf numFmtId="6" fontId="4" fillId="23" borderId="0" xfId="0" applyNumberFormat="1" applyFont="1" applyFill="1" applyAlignment="1">
      <alignment horizontal="right"/>
    </xf>
    <xf numFmtId="6" fontId="3" fillId="23" borderId="0" xfId="0" applyNumberFormat="1" applyFont="1" applyFill="1" applyAlignment="1">
      <alignment horizontal="right"/>
    </xf>
    <xf numFmtId="2" fontId="4" fillId="23" borderId="0" xfId="0" applyNumberFormat="1" applyFont="1" applyFill="1" applyAlignment="1">
      <alignment horizontal="right"/>
    </xf>
    <xf numFmtId="6" fontId="0" fillId="23" borderId="0" xfId="0" applyNumberFormat="1" applyFill="1" applyAlignment="1">
      <alignment horizontal="right"/>
    </xf>
    <xf numFmtId="6" fontId="0" fillId="23" borderId="11" xfId="0" applyNumberFormat="1" applyFill="1" applyBorder="1" applyAlignment="1">
      <alignment horizontal="right"/>
    </xf>
    <xf numFmtId="6" fontId="0" fillId="0" borderId="13" xfId="0" applyNumberFormat="1" applyBorder="1" applyAlignment="1">
      <alignment horizontal="right"/>
    </xf>
    <xf numFmtId="164" fontId="63" fillId="23" borderId="13" xfId="47" applyNumberFormat="1" applyFont="1" applyFill="1" applyBorder="1" applyAlignment="1">
      <alignment horizontal="right"/>
    </xf>
    <xf numFmtId="164" fontId="63" fillId="23" borderId="0" xfId="47" applyNumberFormat="1" applyFont="1" applyFill="1" applyBorder="1" applyAlignment="1">
      <alignment horizontal="right"/>
    </xf>
    <xf numFmtId="164" fontId="63" fillId="23" borderId="11" xfId="47" applyNumberFormat="1" applyFont="1" applyFill="1" applyBorder="1" applyAlignment="1">
      <alignment horizontal="right"/>
    </xf>
    <xf numFmtId="164" fontId="3" fillId="23" borderId="0" xfId="47" applyNumberFormat="1" applyFont="1" applyFill="1" applyBorder="1" applyAlignment="1">
      <alignment horizontal="right"/>
    </xf>
    <xf numFmtId="170" fontId="1" fillId="0" borderId="0" xfId="0" applyNumberFormat="1" applyFont="1"/>
    <xf numFmtId="6" fontId="3" fillId="0" borderId="12" xfId="0" applyNumberFormat="1" applyFont="1" applyBorder="1"/>
    <xf numFmtId="0" fontId="3" fillId="0" borderId="16" xfId="0" applyFont="1" applyBorder="1"/>
    <xf numFmtId="0" fontId="84" fillId="0" borderId="20" xfId="0" applyFont="1" applyBorder="1"/>
    <xf numFmtId="0" fontId="12" fillId="0" borderId="27" xfId="0" applyFont="1" applyBorder="1"/>
    <xf numFmtId="164" fontId="0" fillId="0" borderId="0" xfId="47" applyNumberFormat="1" applyFont="1" applyBorder="1"/>
    <xf numFmtId="0" fontId="4" fillId="0" borderId="0" xfId="0" applyFont="1" applyAlignment="1">
      <alignment horizontal="left"/>
    </xf>
    <xf numFmtId="169" fontId="0" fillId="0" borderId="0" xfId="41" applyFont="1" applyAlignment="1">
      <alignment horizontal="left"/>
    </xf>
    <xf numFmtId="0" fontId="0" fillId="27" borderId="0" xfId="0" applyFill="1" applyAlignment="1">
      <alignment horizontal="center"/>
    </xf>
    <xf numFmtId="170" fontId="0" fillId="23" borderId="0" xfId="0" applyNumberFormat="1" applyFill="1"/>
    <xf numFmtId="0" fontId="1" fillId="0" borderId="61" xfId="0" applyFont="1" applyBorder="1"/>
    <xf numFmtId="0" fontId="14" fillId="0" borderId="62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1" fillId="28" borderId="64" xfId="0" applyFont="1" applyFill="1" applyBorder="1"/>
    <xf numFmtId="167" fontId="4" fillId="0" borderId="28" xfId="41" applyNumberFormat="1" applyFont="1" applyBorder="1"/>
    <xf numFmtId="6" fontId="4" fillId="0" borderId="0" xfId="0" applyNumberFormat="1" applyFont="1"/>
    <xf numFmtId="6" fontId="4" fillId="0" borderId="10" xfId="0" applyNumberFormat="1" applyFont="1" applyBorder="1"/>
    <xf numFmtId="165" fontId="0" fillId="0" borderId="0" xfId="0" applyNumberFormat="1"/>
    <xf numFmtId="6" fontId="4" fillId="23" borderId="0" xfId="0" quotePrefix="1" applyNumberFormat="1" applyFont="1" applyFill="1" applyAlignment="1">
      <alignment horizontal="right"/>
    </xf>
    <xf numFmtId="0" fontId="0" fillId="23" borderId="10" xfId="0" applyFill="1" applyBorder="1" applyAlignment="1">
      <alignment horizontal="center"/>
    </xf>
    <xf numFmtId="0" fontId="4" fillId="0" borderId="64" xfId="0" applyFont="1" applyBorder="1"/>
    <xf numFmtId="0" fontId="4" fillId="28" borderId="64" xfId="0" applyFont="1" applyFill="1" applyBorder="1"/>
    <xf numFmtId="3" fontId="0" fillId="0" borderId="0" xfId="0" applyNumberFormat="1"/>
    <xf numFmtId="0" fontId="4" fillId="30" borderId="24" xfId="0" applyFont="1" applyFill="1" applyBorder="1" applyAlignment="1">
      <alignment wrapText="1"/>
    </xf>
    <xf numFmtId="6" fontId="33" fillId="0" borderId="0" xfId="41" applyNumberFormat="1" applyFont="1" applyAlignment="1">
      <alignment horizontal="right"/>
    </xf>
    <xf numFmtId="37" fontId="1" fillId="0" borderId="0" xfId="28" applyNumberFormat="1" applyFont="1" applyFill="1" applyBorder="1" applyAlignment="1">
      <alignment horizontal="right"/>
    </xf>
    <xf numFmtId="167" fontId="1" fillId="0" borderId="50" xfId="41" applyNumberFormat="1" applyFont="1" applyBorder="1"/>
    <xf numFmtId="167" fontId="14" fillId="0" borderId="0" xfId="41" applyNumberFormat="1" applyFont="1"/>
    <xf numFmtId="167" fontId="1" fillId="0" borderId="51" xfId="41" applyNumberFormat="1" applyFont="1" applyBorder="1"/>
    <xf numFmtId="167" fontId="1" fillId="0" borderId="11" xfId="41" applyNumberFormat="1" applyFont="1" applyBorder="1"/>
    <xf numFmtId="167" fontId="4" fillId="0" borderId="24" xfId="41" applyNumberFormat="1" applyFont="1" applyBorder="1"/>
    <xf numFmtId="167" fontId="14" fillId="0" borderId="52" xfId="41" applyNumberFormat="1" applyFont="1" applyBorder="1"/>
    <xf numFmtId="167" fontId="14" fillId="0" borderId="51" xfId="41" applyNumberFormat="1" applyFont="1" applyBorder="1"/>
    <xf numFmtId="167" fontId="0" fillId="0" borderId="0" xfId="41" applyNumberFormat="1" applyFont="1" applyAlignment="1">
      <alignment horizontal="center"/>
    </xf>
    <xf numFmtId="170" fontId="85" fillId="0" borderId="18" xfId="0" applyNumberFormat="1" applyFont="1" applyBorder="1"/>
    <xf numFmtId="170" fontId="1" fillId="0" borderId="65" xfId="0" applyNumberFormat="1" applyFont="1" applyBorder="1"/>
    <xf numFmtId="170" fontId="85" fillId="28" borderId="19" xfId="0" applyNumberFormat="1" applyFont="1" applyFill="1" applyBorder="1"/>
    <xf numFmtId="170" fontId="1" fillId="28" borderId="19" xfId="0" applyNumberFormat="1" applyFont="1" applyFill="1" applyBorder="1"/>
    <xf numFmtId="170" fontId="85" fillId="28" borderId="65" xfId="0" applyNumberFormat="1" applyFont="1" applyFill="1" applyBorder="1"/>
    <xf numFmtId="170" fontId="1" fillId="29" borderId="65" xfId="0" applyNumberFormat="1" applyFont="1" applyFill="1" applyBorder="1"/>
    <xf numFmtId="170" fontId="85" fillId="0" borderId="19" xfId="0" applyNumberFormat="1" applyFont="1" applyBorder="1"/>
    <xf numFmtId="0" fontId="4" fillId="0" borderId="15" xfId="0" applyFont="1" applyBorder="1"/>
    <xf numFmtId="6" fontId="0" fillId="0" borderId="0" xfId="0" applyNumberFormat="1" applyAlignment="1">
      <alignment horizontal="right"/>
    </xf>
    <xf numFmtId="6" fontId="0" fillId="0" borderId="11" xfId="0" applyNumberFormat="1" applyBorder="1" applyAlignment="1">
      <alignment horizontal="right"/>
    </xf>
    <xf numFmtId="10" fontId="33" fillId="0" borderId="0" xfId="41" applyNumberFormat="1" applyFont="1" applyAlignment="1">
      <alignment horizontal="right"/>
    </xf>
    <xf numFmtId="164" fontId="0" fillId="0" borderId="11" xfId="0" applyNumberFormat="1" applyBorder="1"/>
    <xf numFmtId="0" fontId="0" fillId="0" borderId="26" xfId="0" applyBorder="1"/>
    <xf numFmtId="8" fontId="0" fillId="0" borderId="13" xfId="0" applyNumberFormat="1" applyBorder="1"/>
    <xf numFmtId="8" fontId="0" fillId="0" borderId="0" xfId="0" applyNumberFormat="1"/>
    <xf numFmtId="0" fontId="0" fillId="0" borderId="0" xfId="0" applyAlignment="1" applyProtection="1">
      <alignment horizontal="center"/>
      <protection locked="0"/>
    </xf>
    <xf numFmtId="9" fontId="4" fillId="0" borderId="0" xfId="0" applyNumberFormat="1" applyFont="1" applyAlignment="1">
      <alignment horizontal="center"/>
    </xf>
    <xf numFmtId="3" fontId="0" fillId="0" borderId="0" xfId="0" applyNumberFormat="1" applyAlignment="1" applyProtection="1">
      <alignment horizontal="center"/>
      <protection locked="0"/>
    </xf>
    <xf numFmtId="6" fontId="0" fillId="0" borderId="0" xfId="0" applyNumberFormat="1" applyProtection="1">
      <protection locked="0"/>
    </xf>
    <xf numFmtId="9" fontId="0" fillId="0" borderId="0" xfId="0" applyNumberFormat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56" fillId="0" borderId="10" xfId="0" applyFont="1" applyBorder="1" applyAlignment="1">
      <alignment horizontal="center"/>
    </xf>
    <xf numFmtId="3" fontId="0" fillId="0" borderId="10" xfId="0" applyNumberFormat="1" applyBorder="1" applyAlignment="1" applyProtection="1">
      <alignment horizontal="center"/>
      <protection locked="0"/>
    </xf>
    <xf numFmtId="6" fontId="0" fillId="0" borderId="10" xfId="0" applyNumberFormat="1" applyBorder="1" applyProtection="1">
      <protection locked="0"/>
    </xf>
    <xf numFmtId="0" fontId="4" fillId="0" borderId="0" xfId="0" applyFont="1" applyAlignment="1">
      <alignment horizontal="center" wrapText="1"/>
    </xf>
    <xf numFmtId="0" fontId="7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6" fontId="73" fillId="0" borderId="13" xfId="0" applyNumberFormat="1" applyFont="1" applyBorder="1"/>
    <xf numFmtId="0" fontId="73" fillId="0" borderId="0" xfId="0" applyFont="1"/>
    <xf numFmtId="6" fontId="3" fillId="0" borderId="0" xfId="0" applyNumberFormat="1" applyFont="1" applyAlignment="1">
      <alignment horizontal="center"/>
    </xf>
    <xf numFmtId="6" fontId="0" fillId="0" borderId="0" xfId="0" applyNumberFormat="1" applyAlignment="1">
      <alignment horizontal="center"/>
    </xf>
    <xf numFmtId="166" fontId="63" fillId="0" borderId="0" xfId="28" applyNumberFormat="1" applyFont="1" applyFill="1" applyAlignment="1">
      <alignment horizontal="center"/>
    </xf>
    <xf numFmtId="169" fontId="0" fillId="0" borderId="0" xfId="41" applyFont="1"/>
    <xf numFmtId="169" fontId="1" fillId="0" borderId="36" xfId="41" applyFont="1" applyBorder="1"/>
    <xf numFmtId="164" fontId="0" fillId="0" borderId="0" xfId="47" applyNumberFormat="1" applyFont="1" applyFill="1"/>
    <xf numFmtId="169" fontId="81" fillId="0" borderId="0" xfId="41" applyFont="1"/>
    <xf numFmtId="169" fontId="34" fillId="19" borderId="56" xfId="41" applyFont="1" applyFill="1" applyBorder="1" applyAlignment="1">
      <alignment horizontal="center"/>
    </xf>
    <xf numFmtId="169" fontId="34" fillId="19" borderId="26" xfId="41" applyFont="1" applyFill="1" applyBorder="1" applyAlignment="1">
      <alignment horizontal="center"/>
    </xf>
    <xf numFmtId="0" fontId="0" fillId="0" borderId="26" xfId="0" applyBorder="1"/>
    <xf numFmtId="0" fontId="0" fillId="0" borderId="57" xfId="0" applyBorder="1"/>
    <xf numFmtId="6" fontId="4" fillId="23" borderId="13" xfId="0" applyNumberFormat="1" applyFont="1" applyFill="1" applyBorder="1" applyAlignment="1">
      <alignment horizontal="left"/>
    </xf>
    <xf numFmtId="0" fontId="4" fillId="23" borderId="0" xfId="0" applyFont="1" applyFill="1" applyAlignment="1">
      <alignment horizontal="left" indent="3"/>
    </xf>
    <xf numFmtId="0" fontId="4" fillId="23" borderId="0" xfId="0" applyFont="1" applyFill="1" applyAlignment="1">
      <alignment horizontal="left" indent="2"/>
    </xf>
    <xf numFmtId="0" fontId="65" fillId="18" borderId="10" xfId="0" applyFont="1" applyFill="1" applyBorder="1" applyAlignment="1" applyProtection="1">
      <alignment horizontal="center"/>
      <protection locked="0"/>
    </xf>
    <xf numFmtId="0" fontId="4" fillId="23" borderId="0" xfId="0" applyFont="1" applyFill="1" applyAlignment="1">
      <alignment horizontal="center"/>
    </xf>
    <xf numFmtId="6" fontId="4" fillId="18" borderId="0" xfId="0" applyNumberFormat="1" applyFont="1" applyFill="1" applyAlignment="1">
      <alignment horizontal="left"/>
    </xf>
    <xf numFmtId="6" fontId="4" fillId="0" borderId="0" xfId="0" applyNumberFormat="1" applyFont="1" applyAlignment="1">
      <alignment horizontal="left"/>
    </xf>
    <xf numFmtId="0" fontId="4" fillId="23" borderId="0" xfId="0" applyFont="1" applyFill="1" applyAlignment="1">
      <alignment horizontal="right"/>
    </xf>
    <xf numFmtId="6" fontId="4" fillId="0" borderId="11" xfId="0" applyNumberFormat="1" applyFont="1" applyBorder="1" applyAlignment="1">
      <alignment horizontal="left"/>
    </xf>
    <xf numFmtId="6" fontId="4" fillId="23" borderId="0" xfId="0" applyNumberFormat="1" applyFont="1" applyFill="1" applyAlignment="1">
      <alignment horizontal="left"/>
    </xf>
    <xf numFmtId="167" fontId="3" fillId="23" borderId="0" xfId="0" applyNumberFormat="1" applyFont="1" applyFill="1" applyAlignment="1" applyProtection="1">
      <alignment horizontal="left"/>
      <protection locked="0"/>
    </xf>
    <xf numFmtId="0" fontId="67" fillId="23" borderId="0" xfId="0" applyFont="1" applyFill="1" applyAlignment="1">
      <alignment horizontal="center" vertical="center" wrapText="1"/>
    </xf>
    <xf numFmtId="0" fontId="3" fillId="23" borderId="0" xfId="0" applyFont="1" applyFill="1" applyAlignment="1">
      <alignment horizontal="left" indent="3"/>
    </xf>
    <xf numFmtId="169" fontId="34" fillId="19" borderId="57" xfId="41" applyFont="1" applyFill="1" applyBorder="1" applyAlignment="1">
      <alignment horizontal="center"/>
    </xf>
    <xf numFmtId="169" fontId="11" fillId="23" borderId="36" xfId="41" applyFont="1" applyFill="1" applyBorder="1" applyAlignment="1">
      <alignment horizontal="right"/>
    </xf>
    <xf numFmtId="169" fontId="12" fillId="23" borderId="36" xfId="41" applyFont="1" applyFill="1" applyBorder="1" applyAlignment="1">
      <alignment horizontal="left" indent="1"/>
    </xf>
    <xf numFmtId="169" fontId="12" fillId="23" borderId="58" xfId="41" applyFont="1" applyFill="1" applyBorder="1" applyAlignment="1">
      <alignment horizontal="left" indent="1"/>
    </xf>
    <xf numFmtId="169" fontId="5" fillId="19" borderId="56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7" xfId="0" applyBorder="1" applyAlignment="1">
      <alignment horizontal="center"/>
    </xf>
    <xf numFmtId="0" fontId="57" fillId="0" borderId="36" xfId="0" applyFont="1" applyBorder="1" applyAlignment="1">
      <alignment horizontal="right" vertical="center" wrapText="1"/>
    </xf>
    <xf numFmtId="6" fontId="60" fillId="0" borderId="36" xfId="42" applyNumberFormat="1" applyFont="1" applyBorder="1" applyAlignment="1">
      <alignment horizontal="center" vertical="center"/>
    </xf>
    <xf numFmtId="6" fontId="5" fillId="0" borderId="36" xfId="30" applyNumberFormat="1" applyFont="1" applyBorder="1" applyAlignment="1">
      <alignment horizontal="center" vertical="center"/>
    </xf>
    <xf numFmtId="6" fontId="59" fillId="18" borderId="24" xfId="30" applyNumberFormat="1" applyFont="1" applyFill="1" applyBorder="1" applyAlignment="1">
      <alignment horizontal="center" vertical="center"/>
    </xf>
    <xf numFmtId="6" fontId="59" fillId="0" borderId="24" xfId="30" applyNumberFormat="1" applyFont="1" applyBorder="1" applyAlignment="1">
      <alignment horizontal="center" vertical="center"/>
    </xf>
    <xf numFmtId="169" fontId="4" fillId="0" borderId="15" xfId="42" applyFont="1" applyBorder="1" applyAlignment="1">
      <alignment horizontal="left" vertical="center" indent="1"/>
    </xf>
    <xf numFmtId="169" fontId="4" fillId="0" borderId="14" xfId="42" applyFont="1" applyBorder="1" applyAlignment="1">
      <alignment horizontal="left" vertical="center" indent="1"/>
    </xf>
    <xf numFmtId="169" fontId="49" fillId="0" borderId="11" xfId="42" applyFont="1" applyBorder="1" applyAlignment="1">
      <alignment horizontal="left" vertical="center"/>
    </xf>
    <xf numFmtId="169" fontId="12" fillId="0" borderId="11" xfId="42" applyFont="1" applyBorder="1" applyAlignment="1">
      <alignment horizontal="center" vertical="center" wrapText="1" shrinkToFit="1"/>
    </xf>
    <xf numFmtId="169" fontId="12" fillId="0" borderId="11" xfId="42" applyFont="1" applyBorder="1" applyAlignment="1">
      <alignment horizontal="center" vertical="center"/>
    </xf>
    <xf numFmtId="6" fontId="59" fillId="18" borderId="18" xfId="30" applyNumberFormat="1" applyFont="1" applyFill="1" applyBorder="1" applyAlignment="1">
      <alignment horizontal="center" vertical="center"/>
    </xf>
    <xf numFmtId="6" fontId="59" fillId="0" borderId="18" xfId="30" applyNumberFormat="1" applyFont="1" applyBorder="1" applyAlignment="1">
      <alignment horizontal="center" vertical="center"/>
    </xf>
    <xf numFmtId="6" fontId="59" fillId="18" borderId="17" xfId="30" applyNumberFormat="1" applyFont="1" applyFill="1" applyBorder="1" applyAlignment="1">
      <alignment horizontal="center" vertical="center"/>
    </xf>
    <xf numFmtId="6" fontId="59" fillId="0" borderId="17" xfId="30" applyNumberFormat="1" applyFont="1" applyBorder="1" applyAlignment="1">
      <alignment horizontal="center" vertical="center"/>
    </xf>
    <xf numFmtId="169" fontId="47" fillId="24" borderId="55" xfId="0" applyNumberFormat="1" applyFont="1" applyFill="1" applyBorder="1" applyAlignment="1">
      <alignment horizontal="center" vertical="center"/>
    </xf>
    <xf numFmtId="169" fontId="47" fillId="24" borderId="25" xfId="0" applyNumberFormat="1" applyFont="1" applyFill="1" applyBorder="1" applyAlignment="1">
      <alignment horizontal="center" vertical="center"/>
    </xf>
    <xf numFmtId="169" fontId="47" fillId="24" borderId="54" xfId="0" applyNumberFormat="1" applyFont="1" applyFill="1" applyBorder="1" applyAlignment="1">
      <alignment horizontal="center" vertical="center"/>
    </xf>
    <xf numFmtId="0" fontId="3" fillId="25" borderId="43" xfId="0" applyFont="1" applyFill="1" applyBorder="1" applyAlignment="1">
      <alignment horizontal="center" vertical="center"/>
    </xf>
    <xf numFmtId="0" fontId="3" fillId="25" borderId="59" xfId="0" applyFont="1" applyFill="1" applyBorder="1" applyAlignment="1">
      <alignment horizontal="center" vertical="center"/>
    </xf>
    <xf numFmtId="0" fontId="3" fillId="25" borderId="60" xfId="0" applyFont="1" applyFill="1" applyBorder="1" applyAlignment="1">
      <alignment horizontal="center" vertical="center"/>
    </xf>
    <xf numFmtId="0" fontId="58" fillId="0" borderId="36" xfId="0" applyFont="1" applyBorder="1" applyAlignment="1">
      <alignment horizontal="right" vertical="center" wrapText="1"/>
    </xf>
    <xf numFmtId="169" fontId="5" fillId="19" borderId="56" xfId="0" applyNumberFormat="1" applyFont="1" applyFill="1" applyBorder="1" applyAlignment="1">
      <alignment horizontal="left"/>
    </xf>
    <xf numFmtId="0" fontId="0" fillId="0" borderId="57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18" borderId="0" xfId="0" applyFill="1" applyAlignment="1">
      <alignment horizontal="left"/>
    </xf>
    <xf numFmtId="169" fontId="87" fillId="31" borderId="56" xfId="41" applyFont="1" applyFill="1" applyBorder="1" applyAlignment="1">
      <alignment horizontal="center"/>
    </xf>
    <xf numFmtId="169" fontId="87" fillId="31" borderId="26" xfId="41" applyFont="1" applyFill="1" applyBorder="1" applyAlignment="1">
      <alignment horizontal="center"/>
    </xf>
    <xf numFmtId="0" fontId="88" fillId="31" borderId="26" xfId="0" applyFont="1" applyFill="1" applyBorder="1"/>
    <xf numFmtId="0" fontId="88" fillId="31" borderId="57" xfId="0" applyFont="1" applyFill="1" applyBorder="1"/>
    <xf numFmtId="169" fontId="87" fillId="31" borderId="57" xfId="41" applyFont="1" applyFill="1" applyBorder="1" applyAlignment="1">
      <alignment horizontal="center"/>
    </xf>
    <xf numFmtId="169" fontId="87" fillId="31" borderId="56" xfId="0" applyNumberFormat="1" applyFont="1" applyFill="1" applyBorder="1" applyAlignment="1">
      <alignment horizontal="center"/>
    </xf>
    <xf numFmtId="0" fontId="88" fillId="31" borderId="26" xfId="0" applyFont="1" applyFill="1" applyBorder="1" applyAlignment="1">
      <alignment horizontal="center"/>
    </xf>
    <xf numFmtId="0" fontId="88" fillId="31" borderId="57" xfId="0" applyFont="1" applyFill="1" applyBorder="1" applyAlignment="1">
      <alignment horizontal="center"/>
    </xf>
    <xf numFmtId="0" fontId="88" fillId="31" borderId="0" xfId="0" applyFont="1" applyFill="1"/>
    <xf numFmtId="0" fontId="89" fillId="31" borderId="0" xfId="0" applyFont="1" applyFill="1" applyAlignment="1">
      <alignment horizontal="center"/>
    </xf>
    <xf numFmtId="169" fontId="87" fillId="31" borderId="64" xfId="41" applyFont="1" applyFill="1" applyBorder="1" applyAlignment="1">
      <alignment horizontal="center" wrapText="1"/>
    </xf>
    <xf numFmtId="169" fontId="87" fillId="31" borderId="0" xfId="41" applyFont="1" applyFill="1" applyBorder="1" applyAlignment="1">
      <alignment horizontal="center" wrapText="1"/>
    </xf>
    <xf numFmtId="0" fontId="89" fillId="31" borderId="56" xfId="0" applyFont="1" applyFill="1" applyBorder="1" applyAlignment="1">
      <alignment horizontal="center"/>
    </xf>
    <xf numFmtId="0" fontId="89" fillId="31" borderId="26" xfId="0" applyFont="1" applyFill="1" applyBorder="1" applyAlignment="1">
      <alignment horizontal="center"/>
    </xf>
    <xf numFmtId="0" fontId="89" fillId="31" borderId="57" xfId="0" applyFont="1" applyFill="1" applyBorder="1" applyAlignment="1">
      <alignment horizontal="center"/>
    </xf>
    <xf numFmtId="0" fontId="4" fillId="0" borderId="66" xfId="0" applyFont="1" applyBorder="1"/>
    <xf numFmtId="170" fontId="85" fillId="0" borderId="17" xfId="0" applyNumberFormat="1" applyFont="1" applyBorder="1"/>
    <xf numFmtId="170" fontId="1" fillId="0" borderId="67" xfId="0" applyNumberFormat="1" applyFont="1" applyBorder="1"/>
  </cellXfs>
  <cellStyles count="5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urrency" xfId="30" builtinId="4"/>
    <cellStyle name="Currency 2" xfId="31" xr:uid="{00000000-0005-0000-0000-00001E000000}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_Development Budget" xfId="41" xr:uid="{00000000-0005-0000-0000-000029000000}"/>
    <cellStyle name="Normal_HDTB Pro Forma" xfId="42" xr:uid="{00000000-0005-0000-0000-00002A000000}"/>
    <cellStyle name="Normal_HDTP99-00 Wkshp 4" xfId="43" xr:uid="{00000000-0005-0000-0000-00002B000000}"/>
    <cellStyle name="Note" xfId="44" builtinId="10" customBuiltin="1"/>
    <cellStyle name="Note 2" xfId="45" xr:uid="{00000000-0005-0000-0000-00002D000000}"/>
    <cellStyle name="Output" xfId="46" builtinId="21" customBuiltin="1"/>
    <cellStyle name="Percent" xfId="47" builtinId="5"/>
    <cellStyle name="Percent 2" xfId="48" xr:uid="{00000000-0005-0000-0000-000030000000}"/>
    <cellStyle name="Title" xfId="49" builtinId="15" customBuiltin="1"/>
    <cellStyle name="Total" xfId="50" builtinId="25" customBuiltin="1"/>
    <cellStyle name="Warning Text" xfId="51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dainc4all-my.sharepoint.com/Documents%20and%20Settings/Wendy%20K.%20Smith/My%20Documents/CAI/Indianapolis%20HOME%20TA/Application%20Proformas/IndY%20Application%20Proforma%20RENTAL%20June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0)Compliance Info"/>
      <sheetName val="1)Summary"/>
      <sheetName val="2)Unit Mix &amp; Revenue"/>
      <sheetName val="3)Annual Operating Budget"/>
      <sheetName val="4)Operating Cash Flow"/>
      <sheetName val="5)Development Budget"/>
      <sheetName val="6)Subsidy Analysis"/>
      <sheetName val="7)Draw Log"/>
      <sheetName val="Notes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00"/>
  <sheetViews>
    <sheetView tabSelected="1" zoomScaleNormal="100" workbookViewId="0">
      <selection activeCell="N25" sqref="N25"/>
    </sheetView>
  </sheetViews>
  <sheetFormatPr defaultRowHeight="13"/>
  <cols>
    <col min="1" max="1" width="4" style="226" bestFit="1" customWidth="1"/>
    <col min="2" max="2" width="14.26953125" style="4" customWidth="1"/>
    <col min="4" max="4" width="11.7265625" customWidth="1"/>
    <col min="5" max="5" width="12.7265625" bestFit="1" customWidth="1"/>
    <col min="6" max="7" width="11.54296875" customWidth="1"/>
    <col min="8" max="8" width="13.1796875" customWidth="1"/>
    <col min="9" max="9" width="10.81640625" customWidth="1"/>
    <col min="10" max="10" width="11.7265625" customWidth="1"/>
  </cols>
  <sheetData>
    <row r="1" spans="2:50" ht="14" customHeight="1">
      <c r="B1" s="510" t="s">
        <v>171</v>
      </c>
      <c r="C1" s="511"/>
      <c r="D1" s="511"/>
      <c r="E1" s="511"/>
      <c r="F1" s="511"/>
      <c r="G1" s="511"/>
      <c r="H1" s="511"/>
      <c r="I1" s="511"/>
      <c r="J1" s="511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</row>
    <row r="2" spans="2:50" s="226" customFormat="1">
      <c r="B2" s="256"/>
    </row>
    <row r="3" spans="2:50" s="214" customFormat="1" ht="14">
      <c r="B3" s="222" t="s">
        <v>294</v>
      </c>
    </row>
    <row r="4" spans="2:50" s="214" customFormat="1" ht="12.5">
      <c r="B4" s="455" t="s">
        <v>295</v>
      </c>
      <c r="C4" s="455"/>
      <c r="D4" s="342"/>
      <c r="E4" s="223"/>
      <c r="F4" s="223"/>
      <c r="G4" s="223"/>
      <c r="H4" s="223"/>
    </row>
    <row r="5" spans="2:50" s="214" customFormat="1" ht="12.5">
      <c r="B5" s="455" t="s">
        <v>296</v>
      </c>
      <c r="C5" s="455"/>
      <c r="D5" s="343"/>
      <c r="E5" s="224"/>
      <c r="F5" s="224"/>
      <c r="G5" s="224"/>
      <c r="H5" s="224"/>
    </row>
    <row r="6" spans="2:50" s="214" customFormat="1" ht="12.5">
      <c r="B6" s="455" t="s">
        <v>297</v>
      </c>
      <c r="C6" s="455"/>
      <c r="D6" s="344"/>
      <c r="E6" s="225"/>
      <c r="F6" s="225"/>
      <c r="G6" s="225"/>
      <c r="H6" s="225"/>
    </row>
    <row r="7" spans="2:50" s="226" customFormat="1">
      <c r="B7" s="455" t="s">
        <v>298</v>
      </c>
      <c r="C7" s="455"/>
      <c r="D7" s="228"/>
      <c r="E7" s="228"/>
      <c r="F7" s="227" t="s">
        <v>158</v>
      </c>
      <c r="G7" s="228"/>
      <c r="H7" s="228"/>
    </row>
    <row r="8" spans="2:50" s="226" customFormat="1" ht="12.5">
      <c r="B8" s="455" t="s">
        <v>299</v>
      </c>
      <c r="C8" s="455"/>
      <c r="D8" s="228"/>
      <c r="E8" s="228"/>
      <c r="F8" s="229"/>
      <c r="G8" s="230"/>
      <c r="H8" s="229"/>
    </row>
    <row r="9" spans="2:50" s="214" customFormat="1" ht="14">
      <c r="B9" s="222" t="s">
        <v>300</v>
      </c>
    </row>
    <row r="10" spans="2:50" s="214" customFormat="1" ht="12.5">
      <c r="B10" s="455" t="s">
        <v>301</v>
      </c>
      <c r="C10" s="455"/>
      <c r="D10" s="345"/>
      <c r="E10" s="231"/>
      <c r="F10" s="231"/>
      <c r="G10" s="231"/>
      <c r="H10" s="231"/>
      <c r="I10" s="232" t="s">
        <v>302</v>
      </c>
      <c r="J10" s="233"/>
    </row>
    <row r="11" spans="2:50" s="214" customFormat="1" ht="12.5" hidden="1">
      <c r="B11" s="455" t="s">
        <v>303</v>
      </c>
      <c r="C11" s="455"/>
      <c r="D11" s="224"/>
      <c r="E11" s="224"/>
      <c r="F11" s="224"/>
      <c r="G11" s="224"/>
      <c r="H11" s="224"/>
    </row>
    <row r="12" spans="2:50" s="214" customFormat="1" ht="12.5" hidden="1">
      <c r="B12" s="455" t="s">
        <v>304</v>
      </c>
      <c r="C12" s="455"/>
      <c r="D12" s="224"/>
      <c r="E12" s="224"/>
      <c r="F12" s="224"/>
      <c r="G12" s="224"/>
      <c r="H12" s="224"/>
    </row>
    <row r="13" spans="2:50" s="214" customFormat="1" ht="12.5" hidden="1">
      <c r="B13" s="455" t="s">
        <v>305</v>
      </c>
      <c r="C13" s="455"/>
      <c r="D13" s="224"/>
      <c r="E13" s="224"/>
      <c r="F13" s="224"/>
      <c r="G13" s="224"/>
      <c r="H13" s="224"/>
    </row>
    <row r="14" spans="2:50" s="226" customFormat="1" ht="12.5" hidden="1">
      <c r="B14" s="455" t="s">
        <v>306</v>
      </c>
      <c r="C14" s="455"/>
      <c r="D14" s="224"/>
      <c r="E14" s="224"/>
      <c r="F14" s="224"/>
      <c r="G14" s="224"/>
      <c r="H14" s="224"/>
    </row>
    <row r="15" spans="2:50" s="234" customFormat="1" ht="14" hidden="1">
      <c r="B15" s="222" t="s">
        <v>307</v>
      </c>
    </row>
    <row r="16" spans="2:50" s="229" customFormat="1" ht="12.5" hidden="1">
      <c r="B16" s="319" t="s">
        <v>308</v>
      </c>
      <c r="C16" s="319"/>
      <c r="D16" s="463">
        <f>E48</f>
        <v>0</v>
      </c>
      <c r="E16" s="463"/>
      <c r="F16" s="456" t="s">
        <v>309</v>
      </c>
      <c r="G16" s="456"/>
      <c r="H16" s="236" t="e">
        <f>D17/D16</f>
        <v>#DIV/0!</v>
      </c>
      <c r="I16" s="237"/>
      <c r="J16" s="238"/>
      <c r="K16" s="239"/>
    </row>
    <row r="17" spans="2:13" s="229" customFormat="1" hidden="1">
      <c r="B17" s="320" t="s">
        <v>339</v>
      </c>
      <c r="C17" s="319"/>
      <c r="D17" s="464">
        <f>E52</f>
        <v>0</v>
      </c>
      <c r="E17" s="464"/>
      <c r="F17" s="456" t="s">
        <v>310</v>
      </c>
      <c r="G17" s="456"/>
      <c r="H17" s="240" t="e">
        <f>(D16-D17)/D17</f>
        <v>#DIV/0!</v>
      </c>
      <c r="I17" s="241" t="s">
        <v>311</v>
      </c>
      <c r="J17" s="239"/>
      <c r="M17" s="242"/>
    </row>
    <row r="18" spans="2:13" s="229" customFormat="1" hidden="1">
      <c r="B18" s="466" t="s">
        <v>312</v>
      </c>
      <c r="C18" s="466"/>
      <c r="D18" s="243" t="e">
        <f>D17/C21</f>
        <v>#DIV/0!</v>
      </c>
      <c r="E18" s="239"/>
      <c r="F18" s="456" t="s">
        <v>342</v>
      </c>
      <c r="G18" s="456"/>
      <c r="H18" s="328" t="e">
        <f>C21/C20</f>
        <v>#DIV/0!</v>
      </c>
    </row>
    <row r="19" spans="2:13" s="214" customFormat="1" ht="9" customHeight="1">
      <c r="B19" s="235"/>
      <c r="C19" s="235"/>
      <c r="D19" s="215"/>
      <c r="H19" s="244"/>
      <c r="I19" s="245"/>
    </row>
    <row r="20" spans="2:13" s="226" customFormat="1" ht="12.5">
      <c r="B20" s="229" t="s">
        <v>109</v>
      </c>
      <c r="C20" s="387"/>
      <c r="D20" s="461" t="s">
        <v>313</v>
      </c>
      <c r="E20" s="461"/>
      <c r="F20" s="457"/>
      <c r="G20" s="457"/>
      <c r="H20" s="458" t="s">
        <v>314</v>
      </c>
      <c r="I20" s="458"/>
      <c r="J20" s="247"/>
    </row>
    <row r="21" spans="2:13" s="214" customFormat="1" ht="15" customHeight="1">
      <c r="B21" s="229" t="s">
        <v>369</v>
      </c>
      <c r="C21" s="233"/>
      <c r="D21" s="461" t="s">
        <v>315</v>
      </c>
      <c r="E21" s="461"/>
      <c r="F21" s="461"/>
      <c r="G21" s="248"/>
      <c r="H21" s="458" t="s">
        <v>316</v>
      </c>
      <c r="I21" s="458"/>
      <c r="J21" s="247"/>
    </row>
    <row r="22" spans="2:13" s="226" customFormat="1">
      <c r="B22" s="256"/>
    </row>
    <row r="23" spans="2:13" s="214" customFormat="1">
      <c r="B23" s="298" t="s">
        <v>159</v>
      </c>
      <c r="C23" s="299" t="s">
        <v>160</v>
      </c>
      <c r="D23" s="299" t="s">
        <v>330</v>
      </c>
      <c r="E23" s="299" t="s">
        <v>331</v>
      </c>
      <c r="F23" s="299" t="s">
        <v>332</v>
      </c>
      <c r="G23" s="299" t="s">
        <v>333</v>
      </c>
      <c r="H23" s="300" t="s">
        <v>66</v>
      </c>
    </row>
    <row r="24" spans="2:13" s="301" customFormat="1" ht="12">
      <c r="B24" s="302" t="s">
        <v>334</v>
      </c>
      <c r="C24" s="303">
        <f>'3)Units&amp;Revenue'!C6</f>
        <v>0</v>
      </c>
      <c r="D24" s="304">
        <f>'3)Units&amp;Revenue'!C14</f>
        <v>0</v>
      </c>
      <c r="E24" s="303">
        <v>0</v>
      </c>
      <c r="F24" s="303">
        <f>'3)Units&amp;Revenue'!N6</f>
        <v>0</v>
      </c>
      <c r="G24" s="303">
        <f>'3)Units&amp;Revenue'!N14</f>
        <v>0</v>
      </c>
      <c r="H24" s="305">
        <f>SUM(C24:G24)</f>
        <v>0</v>
      </c>
    </row>
    <row r="25" spans="2:13" s="301" customFormat="1" ht="12">
      <c r="B25" s="302" t="s">
        <v>2</v>
      </c>
      <c r="C25" s="303">
        <f>'3)Units&amp;Revenue'!C7</f>
        <v>0</v>
      </c>
      <c r="D25" s="304">
        <f>'3)Units&amp;Revenue'!C15</f>
        <v>0</v>
      </c>
      <c r="E25" s="303">
        <f>'3)Units&amp;Revenue'!C23</f>
        <v>0</v>
      </c>
      <c r="F25" s="303">
        <f>'3)Units&amp;Revenue'!N7</f>
        <v>0</v>
      </c>
      <c r="G25" s="303">
        <f>'3)Units&amp;Revenue'!N15</f>
        <v>0</v>
      </c>
      <c r="H25" s="305">
        <f>SUM(C25:G25)</f>
        <v>0</v>
      </c>
    </row>
    <row r="26" spans="2:13" s="301" customFormat="1" ht="12">
      <c r="B26" s="302" t="s">
        <v>0</v>
      </c>
      <c r="C26" s="303">
        <f>'3)Units&amp;Revenue'!C8</f>
        <v>0</v>
      </c>
      <c r="D26" s="304">
        <v>0</v>
      </c>
      <c r="E26" s="303">
        <v>0</v>
      </c>
      <c r="F26" s="303">
        <f>'3)Units&amp;Revenue'!N8</f>
        <v>0</v>
      </c>
      <c r="G26" s="303">
        <f>'3)Units&amp;Revenue'!N16</f>
        <v>0</v>
      </c>
      <c r="H26" s="305">
        <f>SUM(C26:G26)</f>
        <v>0</v>
      </c>
    </row>
    <row r="27" spans="2:13" s="301" customFormat="1" ht="12">
      <c r="B27" s="302" t="s">
        <v>3</v>
      </c>
      <c r="C27" s="303">
        <f>'3)Units&amp;Revenue'!C9</f>
        <v>0</v>
      </c>
      <c r="D27" s="304">
        <v>0</v>
      </c>
      <c r="E27" s="303">
        <v>0</v>
      </c>
      <c r="F27" s="303">
        <v>0</v>
      </c>
      <c r="G27" s="303">
        <f>'3)Units&amp;Revenue'!N17</f>
        <v>0</v>
      </c>
      <c r="H27" s="305">
        <f>SUM(C27:G27)</f>
        <v>0</v>
      </c>
    </row>
    <row r="28" spans="2:13" s="301" customFormat="1" ht="12">
      <c r="B28" s="306" t="s">
        <v>325</v>
      </c>
      <c r="C28" s="303">
        <f>'3)Units&amp;Revenue'!C10</f>
        <v>0</v>
      </c>
      <c r="D28" s="304">
        <f>'3)Units&amp;Revenue'!C18</f>
        <v>0</v>
      </c>
      <c r="E28" s="303">
        <f>'3)Units&amp;Revenue'!C26</f>
        <v>0</v>
      </c>
      <c r="F28" s="303">
        <f>'3)Units&amp;Revenue'!N10</f>
        <v>0</v>
      </c>
      <c r="G28" s="303">
        <f>'3)Units&amp;Revenue'!N18</f>
        <v>0</v>
      </c>
      <c r="H28" s="305">
        <f>SUM(C28:G28)</f>
        <v>0</v>
      </c>
    </row>
    <row r="29" spans="2:13" s="307" customFormat="1" ht="12">
      <c r="B29" s="308" t="s">
        <v>335</v>
      </c>
      <c r="C29" s="305">
        <f t="shared" ref="C29:H29" si="0">SUM(C24:C28)</f>
        <v>0</v>
      </c>
      <c r="D29" s="305">
        <f t="shared" si="0"/>
        <v>0</v>
      </c>
      <c r="E29" s="305">
        <f t="shared" si="0"/>
        <v>0</v>
      </c>
      <c r="F29" s="305">
        <f t="shared" si="0"/>
        <v>0</v>
      </c>
      <c r="G29" s="305">
        <f t="shared" si="0"/>
        <v>0</v>
      </c>
      <c r="H29" s="309">
        <f t="shared" si="0"/>
        <v>0</v>
      </c>
    </row>
    <row r="30" spans="2:13" s="226" customFormat="1" ht="7.5" customHeight="1">
      <c r="B30" s="256"/>
    </row>
    <row r="31" spans="2:13" s="229" customFormat="1" ht="12.5">
      <c r="D31" s="283" t="s">
        <v>52</v>
      </c>
      <c r="E31" s="283" t="s">
        <v>53</v>
      </c>
    </row>
    <row r="32" spans="2:13" s="229" customFormat="1" ht="12.5">
      <c r="B32" s="229" t="s">
        <v>162</v>
      </c>
      <c r="D32" s="369">
        <v>0</v>
      </c>
      <c r="E32" s="369" t="e">
        <f>D32/H29</f>
        <v>#DIV/0!</v>
      </c>
      <c r="F32" s="461" t="s">
        <v>161</v>
      </c>
      <c r="G32" s="461"/>
      <c r="H32" s="285"/>
    </row>
    <row r="33" spans="2:10" s="229" customFormat="1" ht="12.5">
      <c r="B33" s="229" t="s">
        <v>167</v>
      </c>
      <c r="D33" s="369">
        <v>0</v>
      </c>
      <c r="E33" s="369" t="e">
        <f>D33/H29</f>
        <v>#DIV/0!</v>
      </c>
      <c r="F33" s="271"/>
      <c r="G33" s="271"/>
      <c r="H33" s="230"/>
    </row>
    <row r="34" spans="2:10" s="229" customFormat="1" ht="12.5">
      <c r="B34" s="229" t="s">
        <v>163</v>
      </c>
      <c r="D34" s="369">
        <v>0</v>
      </c>
      <c r="E34" s="369" t="e">
        <f>D34/H29</f>
        <v>#DIV/0!</v>
      </c>
      <c r="F34" s="461" t="s">
        <v>317</v>
      </c>
      <c r="G34" s="461"/>
      <c r="H34" s="318"/>
    </row>
    <row r="35" spans="2:10" s="229" customFormat="1" ht="12.5">
      <c r="B35" s="229" t="s">
        <v>166</v>
      </c>
      <c r="D35" s="369">
        <v>0</v>
      </c>
      <c r="E35" s="369" t="e">
        <f>D35/H29</f>
        <v>#DIV/0!</v>
      </c>
      <c r="F35" s="461" t="s">
        <v>318</v>
      </c>
      <c r="G35" s="461"/>
      <c r="H35" s="284"/>
    </row>
    <row r="36" spans="2:10" s="229" customFormat="1" ht="12.5">
      <c r="B36" s="229" t="s">
        <v>164</v>
      </c>
      <c r="D36" s="369"/>
      <c r="E36" s="369" t="e">
        <f>D36/H29</f>
        <v>#DIV/0!</v>
      </c>
    </row>
    <row r="37" spans="2:10" s="229" customFormat="1" ht="12.5">
      <c r="B37" s="229" t="s">
        <v>165</v>
      </c>
      <c r="D37" s="371"/>
      <c r="E37" s="271"/>
    </row>
    <row r="38" spans="2:10" s="226" customFormat="1" ht="6" customHeight="1">
      <c r="B38" s="256"/>
    </row>
    <row r="39" spans="2:10" s="226" customFormat="1" ht="14">
      <c r="B39" s="281" t="s">
        <v>168</v>
      </c>
      <c r="C39" s="257"/>
      <c r="E39" s="399" t="s">
        <v>66</v>
      </c>
      <c r="F39" s="246" t="s">
        <v>53</v>
      </c>
      <c r="G39" s="246" t="s">
        <v>107</v>
      </c>
      <c r="H39" s="322" t="s">
        <v>340</v>
      </c>
    </row>
    <row r="40" spans="2:10" s="226" customFormat="1">
      <c r="B40" s="263" t="str">
        <f>'6)Dev Budget'!F14</f>
        <v>Total Predevelopment:</v>
      </c>
      <c r="C40" s="261"/>
      <c r="D40" s="262"/>
      <c r="E40" s="398">
        <v>0</v>
      </c>
      <c r="F40" s="368" t="e">
        <f t="shared" ref="F40:F48" si="1">E40/Units</f>
        <v>#DIV/0!</v>
      </c>
      <c r="G40" s="375" t="e">
        <f t="shared" ref="G40:G48" si="2">E40/$E$48</f>
        <v>#DIV/0!</v>
      </c>
      <c r="H40" s="323"/>
    </row>
    <row r="41" spans="2:10" s="226" customFormat="1">
      <c r="B41" s="238" t="str">
        <f>'6)Dev Budget'!F19</f>
        <v>Total Acquisition:</v>
      </c>
      <c r="C41" s="257"/>
      <c r="E41" s="369">
        <v>0</v>
      </c>
      <c r="F41" s="372" t="e">
        <f t="shared" si="1"/>
        <v>#DIV/0!</v>
      </c>
      <c r="G41" s="376" t="e">
        <f t="shared" si="2"/>
        <v>#DIV/0!</v>
      </c>
      <c r="H41" s="324"/>
    </row>
    <row r="42" spans="2:10" s="226" customFormat="1">
      <c r="B42" s="238" t="str">
        <f>'6)Dev Budget'!F32</f>
        <v>Total Construction:</v>
      </c>
      <c r="C42" s="257"/>
      <c r="E42" s="398">
        <v>0</v>
      </c>
      <c r="F42" s="372" t="e">
        <f>E42/Units</f>
        <v>#DIV/0!</v>
      </c>
      <c r="G42" s="376" t="e">
        <f>E42/$E$48</f>
        <v>#DIV/0!</v>
      </c>
      <c r="H42" s="325" t="e">
        <f>E42/$H$34</f>
        <v>#DIV/0!</v>
      </c>
      <c r="I42" s="321"/>
    </row>
    <row r="43" spans="2:10" s="226" customFormat="1">
      <c r="B43" s="238" t="str">
        <f>'6)Dev Budget'!F38</f>
        <v>Total Professional Fees:</v>
      </c>
      <c r="C43" s="257"/>
      <c r="E43" s="398">
        <v>0</v>
      </c>
      <c r="F43" s="372" t="e">
        <f>E43/Units</f>
        <v>#DIV/0!</v>
      </c>
      <c r="G43" s="376" t="e">
        <f>E43/$E$48</f>
        <v>#DIV/0!</v>
      </c>
      <c r="H43" s="325"/>
      <c r="I43" s="229"/>
      <c r="J43" s="229"/>
    </row>
    <row r="44" spans="2:10" s="226" customFormat="1">
      <c r="B44" s="238" t="str">
        <f>'6)Dev Budget'!F45</f>
        <v>Total Carrying Costs:</v>
      </c>
      <c r="C44" s="257"/>
      <c r="E44" s="398">
        <v>0</v>
      </c>
      <c r="F44" s="372" t="e">
        <f t="shared" si="1"/>
        <v>#DIV/0!</v>
      </c>
      <c r="G44" s="376" t="e">
        <f t="shared" si="2"/>
        <v>#DIV/0!</v>
      </c>
      <c r="H44" s="324"/>
      <c r="I44" s="229"/>
      <c r="J44" s="229"/>
    </row>
    <row r="45" spans="2:10" s="226" customFormat="1">
      <c r="B45" s="238" t="str">
        <f>'6)Dev Budget'!F51</f>
        <v>Total Permanent Financing &amp; Syndication:</v>
      </c>
      <c r="C45" s="257"/>
      <c r="E45" s="398">
        <v>0</v>
      </c>
      <c r="F45" s="372" t="e">
        <f>E45/Units</f>
        <v>#DIV/0!</v>
      </c>
      <c r="G45" s="376" t="e">
        <f>E45/$E$48</f>
        <v>#DIV/0!</v>
      </c>
      <c r="H45" s="324"/>
      <c r="I45" s="229"/>
      <c r="J45" s="229"/>
    </row>
    <row r="46" spans="2:10" s="226" customFormat="1">
      <c r="B46" s="238" t="str">
        <f>'6)Dev Budget'!F57</f>
        <v>Total Reserves:</v>
      </c>
      <c r="C46" s="257"/>
      <c r="E46" s="398">
        <v>0</v>
      </c>
      <c r="F46" s="372" t="e">
        <f>E46/Units</f>
        <v>#DIV/0!</v>
      </c>
      <c r="G46" s="376" t="e">
        <f>E46/$E$48</f>
        <v>#DIV/0!</v>
      </c>
      <c r="H46" s="324"/>
      <c r="I46" s="229"/>
      <c r="J46" s="229"/>
    </row>
    <row r="47" spans="2:10" s="226" customFormat="1" ht="13.5" thickBot="1">
      <c r="B47" s="251" t="str">
        <f>'6)Dev Budget'!B61</f>
        <v>DEVELOPER FEE</v>
      </c>
      <c r="C47" s="252"/>
      <c r="D47" s="258"/>
      <c r="E47" s="373">
        <v>0</v>
      </c>
      <c r="F47" s="373" t="e">
        <f t="shared" si="1"/>
        <v>#DIV/0!</v>
      </c>
      <c r="G47" s="377" t="e">
        <f t="shared" si="2"/>
        <v>#DIV/0!</v>
      </c>
      <c r="H47" s="326"/>
      <c r="I47" s="229"/>
      <c r="J47" s="229"/>
    </row>
    <row r="48" spans="2:10" s="226" customFormat="1">
      <c r="B48" s="259" t="s">
        <v>169</v>
      </c>
      <c r="E48" s="370">
        <f>SUM(E40:E47)</f>
        <v>0</v>
      </c>
      <c r="F48" s="370" t="e">
        <f t="shared" si="1"/>
        <v>#DIV/0!</v>
      </c>
      <c r="G48" s="376" t="e">
        <f t="shared" si="2"/>
        <v>#DIV/0!</v>
      </c>
      <c r="H48" s="325" t="e">
        <f>E48/H34</f>
        <v>#DIV/0!</v>
      </c>
      <c r="I48" s="321"/>
    </row>
    <row r="49" spans="1:42" s="226" customFormat="1" ht="7.5" customHeight="1">
      <c r="B49" s="259"/>
    </row>
    <row r="50" spans="1:42" ht="14">
      <c r="B50" s="282" t="s">
        <v>57</v>
      </c>
      <c r="C50" s="226"/>
      <c r="D50" s="226"/>
      <c r="E50" s="246" t="s">
        <v>66</v>
      </c>
      <c r="F50" s="246" t="s">
        <v>53</v>
      </c>
      <c r="G50" s="246" t="s">
        <v>107</v>
      </c>
      <c r="H50" s="264"/>
      <c r="I50" s="465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</row>
    <row r="51" spans="1:42">
      <c r="B51" s="454" t="s">
        <v>73</v>
      </c>
      <c r="C51" s="454"/>
      <c r="D51" s="454"/>
      <c r="E51" s="374">
        <v>0</v>
      </c>
      <c r="F51" s="368" t="e">
        <f>E51/H29</f>
        <v>#DIV/0!</v>
      </c>
      <c r="G51" s="375" t="e">
        <f>E51/$E$48</f>
        <v>#DIV/0!</v>
      </c>
      <c r="H51" s="265"/>
      <c r="I51" s="465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</row>
    <row r="52" spans="1:42" s="317" customFormat="1">
      <c r="A52" s="316"/>
      <c r="B52" s="460" t="s">
        <v>355</v>
      </c>
      <c r="C52" s="460"/>
      <c r="D52" s="460"/>
      <c r="E52" s="372">
        <v>0</v>
      </c>
      <c r="F52" s="372" t="e">
        <f t="shared" ref="F52:F61" si="3">E52/Units</f>
        <v>#DIV/0!</v>
      </c>
      <c r="G52" s="376" t="e">
        <f t="shared" ref="G52:G61" si="4">E52/$E$48</f>
        <v>#DIV/0!</v>
      </c>
      <c r="H52" s="337"/>
      <c r="I52" s="465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6"/>
      <c r="AH52" s="316"/>
      <c r="AI52" s="316"/>
      <c r="AJ52" s="316"/>
      <c r="AK52" s="316"/>
      <c r="AL52" s="316"/>
      <c r="AM52" s="316"/>
      <c r="AN52" s="316"/>
      <c r="AO52" s="316"/>
      <c r="AP52" s="316"/>
    </row>
    <row r="53" spans="1:42">
      <c r="B53" s="460"/>
      <c r="C53" s="460"/>
      <c r="D53" s="460"/>
      <c r="E53" s="422">
        <v>0</v>
      </c>
      <c r="F53" s="372" t="e">
        <f>E53/H29</f>
        <v>#DIV/0!</v>
      </c>
      <c r="G53" s="376" t="e">
        <f t="shared" si="4"/>
        <v>#DIV/0!</v>
      </c>
      <c r="H53" s="272"/>
      <c r="I53" s="267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</row>
    <row r="54" spans="1:42">
      <c r="B54" s="460" t="s">
        <v>423</v>
      </c>
      <c r="C54" s="460"/>
      <c r="D54" s="460"/>
      <c r="E54" s="422">
        <v>0</v>
      </c>
      <c r="F54" s="372" t="e">
        <f>E54/H29</f>
        <v>#DIV/0!</v>
      </c>
      <c r="G54" s="376" t="e">
        <f t="shared" si="4"/>
        <v>#DIV/0!</v>
      </c>
      <c r="H54" s="272"/>
      <c r="I54" s="267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</row>
    <row r="55" spans="1:42">
      <c r="B55" s="460"/>
      <c r="C55" s="460"/>
      <c r="D55" s="460"/>
      <c r="E55" s="422">
        <v>0</v>
      </c>
      <c r="F55" s="372" t="e">
        <f>E55/H29</f>
        <v>#DIV/0!</v>
      </c>
      <c r="G55" s="376" t="e">
        <f t="shared" si="4"/>
        <v>#DIV/0!</v>
      </c>
      <c r="H55" s="272"/>
      <c r="I55" s="267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</row>
    <row r="56" spans="1:42">
      <c r="B56" s="460" t="s">
        <v>365</v>
      </c>
      <c r="C56" s="460"/>
      <c r="D56" s="460"/>
      <c r="E56" s="422">
        <v>0</v>
      </c>
      <c r="F56" s="372" t="e">
        <f>E56/H29</f>
        <v>#DIV/0!</v>
      </c>
      <c r="G56" s="376" t="e">
        <f t="shared" si="4"/>
        <v>#DIV/0!</v>
      </c>
      <c r="H56" s="272"/>
      <c r="I56" s="267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</row>
    <row r="57" spans="1:42">
      <c r="B57" s="460" t="s">
        <v>384</v>
      </c>
      <c r="C57" s="460"/>
      <c r="D57" s="460"/>
      <c r="E57" s="422">
        <v>0</v>
      </c>
      <c r="F57" s="372" t="e">
        <f>E57/H29</f>
        <v>#DIV/0!</v>
      </c>
      <c r="G57" s="376" t="e">
        <f t="shared" si="4"/>
        <v>#DIV/0!</v>
      </c>
      <c r="H57" s="272"/>
      <c r="I57" s="267"/>
      <c r="J57" s="388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</row>
    <row r="58" spans="1:42" ht="13.5" thickBot="1">
      <c r="B58" s="462" t="s">
        <v>385</v>
      </c>
      <c r="C58" s="462"/>
      <c r="D58" s="462"/>
      <c r="E58" s="423">
        <v>0</v>
      </c>
      <c r="F58" s="373" t="e">
        <f t="shared" si="3"/>
        <v>#DIV/0!</v>
      </c>
      <c r="G58" s="377" t="e">
        <f t="shared" si="4"/>
        <v>#DIV/0!</v>
      </c>
      <c r="H58" s="272"/>
      <c r="I58" s="267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</row>
    <row r="59" spans="1:42" ht="12.75" hidden="1" customHeight="1">
      <c r="B59" s="459"/>
      <c r="C59" s="459"/>
      <c r="D59" s="459"/>
      <c r="E59" s="367"/>
      <c r="F59" s="372" t="e">
        <f t="shared" si="3"/>
        <v>#DIV/0!</v>
      </c>
      <c r="G59" s="376" t="e">
        <f t="shared" si="4"/>
        <v>#DIV/0!</v>
      </c>
      <c r="H59" s="266"/>
      <c r="I59" s="267">
        <v>0</v>
      </c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</row>
    <row r="60" spans="1:42" ht="12.75" hidden="1" customHeight="1">
      <c r="B60" s="459"/>
      <c r="C60" s="459"/>
      <c r="D60" s="459"/>
      <c r="E60" s="367"/>
      <c r="F60" s="372" t="e">
        <f t="shared" si="3"/>
        <v>#DIV/0!</v>
      </c>
      <c r="G60" s="376" t="e">
        <f t="shared" si="4"/>
        <v>#DIV/0!</v>
      </c>
      <c r="H60" s="266"/>
      <c r="I60" s="268">
        <v>0</v>
      </c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</row>
    <row r="61" spans="1:42" ht="12.75" hidden="1" customHeight="1">
      <c r="B61" s="459"/>
      <c r="C61" s="459"/>
      <c r="D61" s="459"/>
      <c r="E61" s="367"/>
      <c r="F61" s="372" t="e">
        <f t="shared" si="3"/>
        <v>#DIV/0!</v>
      </c>
      <c r="G61" s="376" t="e">
        <f t="shared" si="4"/>
        <v>#DIV/0!</v>
      </c>
      <c r="H61" s="269"/>
      <c r="I61" s="270">
        <v>0</v>
      </c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</row>
    <row r="62" spans="1:42" s="226" customFormat="1">
      <c r="B62" s="330" t="s">
        <v>170</v>
      </c>
      <c r="C62" s="331"/>
      <c r="D62" s="331"/>
      <c r="E62" s="370">
        <f>SUM(E51:E61)</f>
        <v>0</v>
      </c>
      <c r="F62" s="370" t="e">
        <f>SUM(F51:F61)</f>
        <v>#DIV/0!</v>
      </c>
      <c r="G62" s="378" t="e">
        <f>SUM(G51:G61)</f>
        <v>#DIV/0!</v>
      </c>
      <c r="H62" s="254"/>
    </row>
    <row r="63" spans="1:42" s="226" customFormat="1" ht="13.5" thickBot="1">
      <c r="B63" s="260"/>
      <c r="C63" s="258"/>
      <c r="D63" s="258"/>
      <c r="E63" s="258"/>
      <c r="F63" s="253"/>
      <c r="G63" s="327"/>
    </row>
    <row r="64" spans="1:42" s="280" customFormat="1" ht="19.5" customHeight="1" thickBot="1">
      <c r="B64" s="278" t="s">
        <v>341</v>
      </c>
      <c r="C64" s="279"/>
      <c r="D64" s="279"/>
      <c r="E64" s="336">
        <f>E62-E48</f>
        <v>0</v>
      </c>
      <c r="F64" s="336" t="e">
        <f>E64/H29</f>
        <v>#DIV/0!</v>
      </c>
      <c r="G64" s="332" t="e">
        <f>E64/E48</f>
        <v>#DIV/0!</v>
      </c>
      <c r="H64" s="333"/>
    </row>
    <row r="65" spans="2:2" s="226" customFormat="1">
      <c r="B65" s="259"/>
    </row>
    <row r="66" spans="2:2" s="226" customFormat="1">
      <c r="B66" s="256"/>
    </row>
    <row r="67" spans="2:2" s="226" customFormat="1">
      <c r="B67" s="256"/>
    </row>
    <row r="68" spans="2:2" s="226" customFormat="1">
      <c r="B68" s="256"/>
    </row>
    <row r="69" spans="2:2" s="226" customFormat="1">
      <c r="B69" s="256"/>
    </row>
    <row r="70" spans="2:2" s="226" customFormat="1">
      <c r="B70" s="256"/>
    </row>
    <row r="71" spans="2:2" s="226" customFormat="1">
      <c r="B71" s="256"/>
    </row>
    <row r="72" spans="2:2" s="226" customFormat="1">
      <c r="B72" s="256"/>
    </row>
    <row r="73" spans="2:2" s="226" customFormat="1">
      <c r="B73" s="256"/>
    </row>
    <row r="74" spans="2:2" s="226" customFormat="1">
      <c r="B74" s="256"/>
    </row>
    <row r="75" spans="2:2" s="226" customFormat="1">
      <c r="B75" s="256"/>
    </row>
    <row r="76" spans="2:2" s="226" customFormat="1">
      <c r="B76" s="256"/>
    </row>
    <row r="77" spans="2:2" s="226" customFormat="1">
      <c r="B77" s="256"/>
    </row>
    <row r="78" spans="2:2" s="226" customFormat="1">
      <c r="B78" s="256"/>
    </row>
    <row r="79" spans="2:2" s="226" customFormat="1">
      <c r="B79" s="256"/>
    </row>
    <row r="80" spans="2:2" s="226" customFormat="1">
      <c r="B80" s="256"/>
    </row>
    <row r="81" spans="2:2" s="226" customFormat="1">
      <c r="B81" s="256"/>
    </row>
    <row r="82" spans="2:2" s="226" customFormat="1">
      <c r="B82" s="256"/>
    </row>
    <row r="83" spans="2:2" s="226" customFormat="1">
      <c r="B83" s="256"/>
    </row>
    <row r="84" spans="2:2" s="226" customFormat="1">
      <c r="B84" s="256"/>
    </row>
    <row r="85" spans="2:2" s="226" customFormat="1">
      <c r="B85" s="256"/>
    </row>
    <row r="86" spans="2:2" s="226" customFormat="1">
      <c r="B86" s="256"/>
    </row>
    <row r="87" spans="2:2" s="226" customFormat="1">
      <c r="B87" s="256"/>
    </row>
    <row r="88" spans="2:2" s="226" customFormat="1">
      <c r="B88" s="256"/>
    </row>
    <row r="89" spans="2:2" s="226" customFormat="1">
      <c r="B89" s="256"/>
    </row>
    <row r="90" spans="2:2" s="226" customFormat="1">
      <c r="B90" s="256"/>
    </row>
    <row r="91" spans="2:2" s="226" customFormat="1">
      <c r="B91" s="256"/>
    </row>
    <row r="92" spans="2:2" s="226" customFormat="1">
      <c r="B92" s="256"/>
    </row>
    <row r="93" spans="2:2" s="226" customFormat="1">
      <c r="B93" s="256"/>
    </row>
    <row r="94" spans="2:2" s="226" customFormat="1">
      <c r="B94" s="256"/>
    </row>
    <row r="95" spans="2:2" s="226" customFormat="1">
      <c r="B95" s="256"/>
    </row>
    <row r="96" spans="2:2" s="226" customFormat="1">
      <c r="B96" s="256"/>
    </row>
    <row r="97" spans="2:7" s="226" customFormat="1">
      <c r="B97" s="256"/>
    </row>
    <row r="98" spans="2:7" s="226" customFormat="1">
      <c r="B98" s="256"/>
    </row>
    <row r="99" spans="2:7">
      <c r="E99" s="226"/>
      <c r="F99" s="226"/>
      <c r="G99" s="226"/>
    </row>
    <row r="100" spans="2:7">
      <c r="E100" s="226"/>
      <c r="F100" s="226"/>
      <c r="G100" s="226"/>
    </row>
  </sheetData>
  <mergeCells count="37">
    <mergeCell ref="B1:J1"/>
    <mergeCell ref="D16:E16"/>
    <mergeCell ref="F16:G16"/>
    <mergeCell ref="D17:E17"/>
    <mergeCell ref="F17:G17"/>
    <mergeCell ref="I50:I52"/>
    <mergeCell ref="B52:D52"/>
    <mergeCell ref="B18:C18"/>
    <mergeCell ref="F34:G34"/>
    <mergeCell ref="F35:G35"/>
    <mergeCell ref="D21:F21"/>
    <mergeCell ref="D20:E20"/>
    <mergeCell ref="B60:D60"/>
    <mergeCell ref="B61:D61"/>
    <mergeCell ref="B56:D56"/>
    <mergeCell ref="B57:D57"/>
    <mergeCell ref="F32:G32"/>
    <mergeCell ref="B53:D53"/>
    <mergeCell ref="B58:D58"/>
    <mergeCell ref="B59:D59"/>
    <mergeCell ref="B54:D54"/>
    <mergeCell ref="B55:D55"/>
    <mergeCell ref="B51:D51"/>
    <mergeCell ref="B10:C10"/>
    <mergeCell ref="B11:C11"/>
    <mergeCell ref="B4:C4"/>
    <mergeCell ref="B5:C5"/>
    <mergeCell ref="B6:C6"/>
    <mergeCell ref="B7:C7"/>
    <mergeCell ref="B8:C8"/>
    <mergeCell ref="B12:C12"/>
    <mergeCell ref="F18:G18"/>
    <mergeCell ref="B13:C13"/>
    <mergeCell ref="F20:G20"/>
    <mergeCell ref="H20:I20"/>
    <mergeCell ref="H21:I21"/>
    <mergeCell ref="B14:C14"/>
  </mergeCells>
  <phoneticPr fontId="0" type="noConversion"/>
  <dataValidations count="5">
    <dataValidation type="list" allowBlank="1" showInputMessage="1" showErrorMessage="1" sqref="J21" xr:uid="{00000000-0002-0000-0000-000000000000}">
      <formula1>"Single Family, Duplex(es), Townhomes, Garden Apts, Flats, Mid-Rise, High Rise, Other"</formula1>
    </dataValidation>
    <dataValidation type="list" allowBlank="1" showInputMessage="1" showErrorMessage="1" sqref="J10" xr:uid="{00000000-0002-0000-0000-000001000000}">
      <formula1>"YES,NO"</formula1>
    </dataValidation>
    <dataValidation type="list" allowBlank="1" showInputMessage="1" showErrorMessage="1" sqref="F20:G20" xr:uid="{00000000-0002-0000-0000-000002000000}">
      <formula1>"Rehab, New Construction"</formula1>
    </dataValidation>
    <dataValidation type="list" allowBlank="1" showInputMessage="1" showErrorMessage="1" sqref="J20" xr:uid="{00000000-0002-0000-0000-000003000000}">
      <formula1>"None, Elderly, Disabled, Veterans, Homeless, Multiple Populations"</formula1>
    </dataValidation>
    <dataValidation type="list" allowBlank="1" showInputMessage="1" showErrorMessage="1" sqref="G21" xr:uid="{00000000-0002-0000-0000-000004000000}">
      <formula1>"Fixed, Floating, Not Applicable"</formula1>
    </dataValidation>
  </dataValidations>
  <printOptions horizontalCentered="1"/>
  <pageMargins left="0.75" right="0.75" top="1" bottom="1" header="0.5" footer="0.5"/>
  <pageSetup scale="8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7"/>
  <sheetViews>
    <sheetView zoomScaleNormal="100" workbookViewId="0">
      <pane xSplit="3" ySplit="7" topLeftCell="D8" activePane="bottomRight" state="frozen"/>
      <selection activeCell="Y36" sqref="Y36"/>
      <selection pane="topRight" activeCell="Y36" sqref="Y36"/>
      <selection pane="bottomLeft" activeCell="Y36" sqref="Y36"/>
      <selection pane="bottomRight" activeCell="A8" sqref="A8"/>
    </sheetView>
  </sheetViews>
  <sheetFormatPr defaultRowHeight="12.5"/>
  <cols>
    <col min="1" max="1" width="28.453125" customWidth="1"/>
    <col min="2" max="2" width="8.54296875" customWidth="1"/>
    <col min="3" max="3" width="21.54296875" customWidth="1"/>
    <col min="4" max="4" width="9.7265625" bestFit="1" customWidth="1"/>
    <col min="6" max="6" width="9.453125" bestFit="1" customWidth="1"/>
    <col min="7" max="7" width="9.7265625" bestFit="1" customWidth="1"/>
    <col min="8" max="8" width="9.453125" bestFit="1" customWidth="1"/>
    <col min="9" max="12" width="9.7265625" bestFit="1" customWidth="1"/>
    <col min="13" max="13" width="10.1796875" bestFit="1" customWidth="1"/>
    <col min="14" max="17" width="9.7265625" bestFit="1" customWidth="1"/>
    <col min="18" max="18" width="12" customWidth="1"/>
    <col min="19" max="19" width="10.81640625" bestFit="1" customWidth="1"/>
    <col min="20" max="23" width="10.7265625" bestFit="1" customWidth="1"/>
  </cols>
  <sheetData>
    <row r="1" spans="1:23" ht="16" thickBot="1">
      <c r="A1" s="471" t="s">
        <v>191</v>
      </c>
      <c r="B1" s="472"/>
      <c r="C1" s="473"/>
    </row>
    <row r="2" spans="1:23" ht="3.75" customHeight="1"/>
    <row r="3" spans="1:23" ht="13" hidden="1">
      <c r="A3" s="4" t="s">
        <v>192</v>
      </c>
      <c r="B3" s="497" t="e">
        <f>'1)Summary &amp; Gap'!#REF!</f>
        <v>#REF!</v>
      </c>
      <c r="C3" s="497"/>
    </row>
    <row r="4" spans="1:23" ht="13" hidden="1">
      <c r="A4" s="4" t="s">
        <v>193</v>
      </c>
      <c r="B4" s="498" t="e">
        <f>'1)Summary &amp; Gap'!#REF!</f>
        <v>#REF!</v>
      </c>
      <c r="C4" s="498"/>
    </row>
    <row r="5" spans="1:23" ht="13" hidden="1">
      <c r="A5" s="4" t="s">
        <v>194</v>
      </c>
      <c r="B5" s="499"/>
      <c r="C5" s="499"/>
    </row>
    <row r="6" spans="1:23">
      <c r="D6" s="1" t="s">
        <v>108</v>
      </c>
      <c r="E6" s="1" t="s">
        <v>108</v>
      </c>
      <c r="F6" s="1" t="s">
        <v>108</v>
      </c>
      <c r="G6" s="1" t="s">
        <v>108</v>
      </c>
      <c r="H6" s="1" t="s">
        <v>108</v>
      </c>
      <c r="I6" s="1" t="s">
        <v>108</v>
      </c>
      <c r="J6" s="1" t="s">
        <v>108</v>
      </c>
      <c r="K6" s="1" t="s">
        <v>108</v>
      </c>
      <c r="L6" s="1" t="s">
        <v>108</v>
      </c>
      <c r="M6" s="1" t="s">
        <v>108</v>
      </c>
      <c r="N6" s="1" t="s">
        <v>108</v>
      </c>
      <c r="O6" s="1" t="s">
        <v>108</v>
      </c>
      <c r="P6" s="1" t="s">
        <v>108</v>
      </c>
      <c r="Q6" s="1" t="s">
        <v>108</v>
      </c>
      <c r="R6" s="1" t="s">
        <v>108</v>
      </c>
      <c r="S6" s="1" t="s">
        <v>108</v>
      </c>
      <c r="T6" s="1" t="s">
        <v>108</v>
      </c>
      <c r="U6" s="1" t="s">
        <v>108</v>
      </c>
      <c r="V6" s="1" t="s">
        <v>108</v>
      </c>
      <c r="W6" s="1" t="s">
        <v>108</v>
      </c>
    </row>
    <row r="7" spans="1:23" ht="13.5" thickBot="1">
      <c r="A7" s="155" t="s">
        <v>195</v>
      </c>
      <c r="B7" s="155"/>
      <c r="C7" s="155" t="s">
        <v>196</v>
      </c>
      <c r="D7" s="153">
        <v>1</v>
      </c>
      <c r="E7" s="153">
        <v>2</v>
      </c>
      <c r="F7" s="153">
        <v>3</v>
      </c>
      <c r="G7" s="153">
        <v>4</v>
      </c>
      <c r="H7" s="153">
        <v>5</v>
      </c>
      <c r="I7" s="153">
        <v>6</v>
      </c>
      <c r="J7" s="153">
        <v>7</v>
      </c>
      <c r="K7" s="153">
        <v>8</v>
      </c>
      <c r="L7" s="153">
        <v>9</v>
      </c>
      <c r="M7" s="153">
        <v>10</v>
      </c>
      <c r="N7" s="153">
        <v>11</v>
      </c>
      <c r="O7" s="153">
        <v>12</v>
      </c>
      <c r="P7" s="153">
        <v>13</v>
      </c>
      <c r="Q7" s="153">
        <v>14</v>
      </c>
      <c r="R7" s="153">
        <v>15</v>
      </c>
      <c r="S7" s="153">
        <v>16</v>
      </c>
      <c r="T7" s="153">
        <v>17</v>
      </c>
      <c r="U7" s="153">
        <v>18</v>
      </c>
      <c r="V7" s="153">
        <v>19</v>
      </c>
      <c r="W7" s="153">
        <v>20</v>
      </c>
    </row>
    <row r="8" spans="1:23">
      <c r="A8" s="338" t="s">
        <v>197</v>
      </c>
      <c r="B8" s="8"/>
      <c r="C8" s="15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>
      <c r="A9" s="338" t="s">
        <v>198</v>
      </c>
      <c r="B9" s="8"/>
      <c r="C9" s="15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>
      <c r="A10" s="338" t="s">
        <v>199</v>
      </c>
      <c r="B10" s="8"/>
      <c r="C10" s="15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>
      <c r="A11" s="338" t="s">
        <v>200</v>
      </c>
      <c r="B11" s="8"/>
      <c r="C11" s="15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>
      <c r="A12" s="338" t="s">
        <v>201</v>
      </c>
      <c r="B12" s="8"/>
      <c r="C12" s="15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>
      <c r="A13" s="338" t="s">
        <v>202</v>
      </c>
      <c r="B13" s="8"/>
      <c r="C13" s="15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>
      <c r="A14" s="338" t="s">
        <v>203</v>
      </c>
      <c r="B14" s="8"/>
      <c r="C14" s="15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>
      <c r="A15" s="338" t="s">
        <v>204</v>
      </c>
      <c r="B15" s="8"/>
      <c r="C15" s="15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>
      <c r="A16" s="338" t="s">
        <v>205</v>
      </c>
      <c r="B16" s="8"/>
      <c r="C16" s="15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>
      <c r="A17" s="338" t="s">
        <v>206</v>
      </c>
      <c r="B17" s="8"/>
      <c r="C17" s="15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338" t="s">
        <v>22</v>
      </c>
      <c r="B18" s="8"/>
      <c r="C18" s="15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>
      <c r="A19" s="338" t="s">
        <v>207</v>
      </c>
      <c r="B19" s="8"/>
      <c r="C19" s="15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>
      <c r="A20" s="338" t="s">
        <v>208</v>
      </c>
      <c r="B20" s="8"/>
      <c r="C20" s="15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>
      <c r="A21" s="338" t="s">
        <v>349</v>
      </c>
      <c r="B21" s="8"/>
      <c r="C21" s="15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>
      <c r="A22" s="338" t="s">
        <v>209</v>
      </c>
      <c r="B22" s="8"/>
      <c r="C22" s="15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>
      <c r="A23" s="338" t="s">
        <v>210</v>
      </c>
      <c r="B23" s="8"/>
      <c r="C23" s="15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>
      <c r="A24" s="338" t="s">
        <v>211</v>
      </c>
      <c r="B24" s="8"/>
      <c r="C24" s="15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>
      <c r="A25" s="338" t="s">
        <v>42</v>
      </c>
      <c r="B25" s="8"/>
      <c r="C25" s="15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>
      <c r="A26" s="338" t="s">
        <v>212</v>
      </c>
      <c r="B26" s="8"/>
      <c r="C26" s="15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>
      <c r="A27" s="338" t="s">
        <v>213</v>
      </c>
      <c r="B27" s="8"/>
      <c r="C27" s="15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>
      <c r="A28" s="338" t="s">
        <v>214</v>
      </c>
      <c r="B28" s="8"/>
      <c r="C28" s="15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>
      <c r="A29" s="338" t="s">
        <v>19</v>
      </c>
      <c r="B29" s="8"/>
      <c r="C29" s="15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>
      <c r="A30" s="338" t="s">
        <v>19</v>
      </c>
      <c r="B30" s="8"/>
      <c r="C30" s="15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>
      <c r="A31" s="338" t="s">
        <v>19</v>
      </c>
      <c r="B31" s="8"/>
      <c r="C31" s="15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>
      <c r="C32" s="3" t="s">
        <v>15</v>
      </c>
      <c r="D32" s="6">
        <f t="shared" ref="D32:W32" si="0">SUM(D8:D31)</f>
        <v>0</v>
      </c>
      <c r="E32" s="6">
        <f t="shared" si="0"/>
        <v>0</v>
      </c>
      <c r="F32" s="6">
        <f t="shared" si="0"/>
        <v>0</v>
      </c>
      <c r="G32" s="6">
        <f t="shared" si="0"/>
        <v>0</v>
      </c>
      <c r="H32" s="6">
        <f t="shared" si="0"/>
        <v>0</v>
      </c>
      <c r="I32" s="6">
        <f t="shared" si="0"/>
        <v>0</v>
      </c>
      <c r="J32" s="6">
        <f t="shared" si="0"/>
        <v>0</v>
      </c>
      <c r="K32" s="6">
        <f t="shared" si="0"/>
        <v>0</v>
      </c>
      <c r="L32" s="6">
        <f t="shared" si="0"/>
        <v>0</v>
      </c>
      <c r="M32" s="6">
        <f t="shared" si="0"/>
        <v>0</v>
      </c>
      <c r="N32" s="6">
        <f t="shared" si="0"/>
        <v>0</v>
      </c>
      <c r="O32" s="6">
        <f t="shared" si="0"/>
        <v>0</v>
      </c>
      <c r="P32" s="6">
        <f t="shared" si="0"/>
        <v>0</v>
      </c>
      <c r="Q32" s="6">
        <f t="shared" si="0"/>
        <v>0</v>
      </c>
      <c r="R32" s="6">
        <f t="shared" si="0"/>
        <v>0</v>
      </c>
      <c r="S32" s="6">
        <f t="shared" si="0"/>
        <v>0</v>
      </c>
      <c r="T32" s="6">
        <f t="shared" si="0"/>
        <v>0</v>
      </c>
      <c r="U32" s="6">
        <f t="shared" si="0"/>
        <v>0</v>
      </c>
      <c r="V32" s="6">
        <f t="shared" si="0"/>
        <v>0</v>
      </c>
      <c r="W32" s="6">
        <f t="shared" si="0"/>
        <v>0</v>
      </c>
    </row>
    <row r="33" spans="1:23" ht="13">
      <c r="A33" s="5" t="s">
        <v>215</v>
      </c>
      <c r="B33" s="156">
        <v>0.03</v>
      </c>
      <c r="C33" s="3" t="s">
        <v>216</v>
      </c>
      <c r="D33" s="72">
        <f t="shared" ref="D33:W33" si="1">(1+$B$33)^(D7-1)</f>
        <v>1</v>
      </c>
      <c r="E33" s="72">
        <f t="shared" si="1"/>
        <v>1.03</v>
      </c>
      <c r="F33" s="72">
        <f t="shared" si="1"/>
        <v>1.0609</v>
      </c>
      <c r="G33" s="72">
        <f t="shared" si="1"/>
        <v>1.092727</v>
      </c>
      <c r="H33" s="72">
        <f t="shared" si="1"/>
        <v>1.1255088099999999</v>
      </c>
      <c r="I33" s="72">
        <f t="shared" si="1"/>
        <v>1.1592740742999998</v>
      </c>
      <c r="J33" s="72">
        <f t="shared" si="1"/>
        <v>1.1940522965289999</v>
      </c>
      <c r="K33" s="72">
        <f t="shared" si="1"/>
        <v>1.22987386542487</v>
      </c>
      <c r="L33" s="72">
        <f t="shared" si="1"/>
        <v>1.2667700813876159</v>
      </c>
      <c r="M33" s="72">
        <f t="shared" si="1"/>
        <v>1.3047731838292445</v>
      </c>
      <c r="N33" s="72">
        <f t="shared" si="1"/>
        <v>1.3439163793441218</v>
      </c>
      <c r="O33" s="72">
        <f t="shared" si="1"/>
        <v>1.3842338707244455</v>
      </c>
      <c r="P33" s="72">
        <f t="shared" si="1"/>
        <v>1.4257608868461786</v>
      </c>
      <c r="Q33" s="72">
        <f t="shared" si="1"/>
        <v>1.4685337134515639</v>
      </c>
      <c r="R33" s="72">
        <f t="shared" si="1"/>
        <v>1.512589724855111</v>
      </c>
      <c r="S33" s="72">
        <f t="shared" si="1"/>
        <v>1.5579674166007644</v>
      </c>
      <c r="T33" s="72">
        <f t="shared" si="1"/>
        <v>1.6047064390987871</v>
      </c>
      <c r="U33" s="72">
        <f t="shared" si="1"/>
        <v>1.6528476322717507</v>
      </c>
      <c r="V33" s="72">
        <f t="shared" si="1"/>
        <v>1.7024330612399032</v>
      </c>
      <c r="W33" s="72">
        <f t="shared" si="1"/>
        <v>1.7535060530771003</v>
      </c>
    </row>
    <row r="35" spans="1:23" ht="13">
      <c r="A35" s="5" t="s">
        <v>54</v>
      </c>
      <c r="B35">
        <f>Units</f>
        <v>0</v>
      </c>
      <c r="C35" s="3" t="s">
        <v>217</v>
      </c>
      <c r="D35" s="6">
        <f t="shared" ref="D35:W35" si="2">D32*D33</f>
        <v>0</v>
      </c>
      <c r="E35" s="6">
        <f t="shared" si="2"/>
        <v>0</v>
      </c>
      <c r="F35" s="6">
        <f t="shared" si="2"/>
        <v>0</v>
      </c>
      <c r="G35" s="6">
        <f t="shared" si="2"/>
        <v>0</v>
      </c>
      <c r="H35" s="6">
        <f t="shared" si="2"/>
        <v>0</v>
      </c>
      <c r="I35" s="6">
        <f t="shared" si="2"/>
        <v>0</v>
      </c>
      <c r="J35" s="6">
        <f t="shared" si="2"/>
        <v>0</v>
      </c>
      <c r="K35" s="6">
        <f t="shared" si="2"/>
        <v>0</v>
      </c>
      <c r="L35" s="6">
        <f t="shared" si="2"/>
        <v>0</v>
      </c>
      <c r="M35" s="6">
        <f t="shared" si="2"/>
        <v>0</v>
      </c>
      <c r="N35" s="6">
        <f t="shared" si="2"/>
        <v>0</v>
      </c>
      <c r="O35" s="6">
        <f t="shared" si="2"/>
        <v>0</v>
      </c>
      <c r="P35" s="6">
        <f t="shared" si="2"/>
        <v>0</v>
      </c>
      <c r="Q35" s="6">
        <f t="shared" si="2"/>
        <v>0</v>
      </c>
      <c r="R35" s="6">
        <f t="shared" si="2"/>
        <v>0</v>
      </c>
      <c r="S35" s="6">
        <f t="shared" si="2"/>
        <v>0</v>
      </c>
      <c r="T35" s="6">
        <f t="shared" si="2"/>
        <v>0</v>
      </c>
      <c r="U35" s="6">
        <f t="shared" si="2"/>
        <v>0</v>
      </c>
      <c r="V35" s="6">
        <f t="shared" si="2"/>
        <v>0</v>
      </c>
      <c r="W35" s="6">
        <f t="shared" si="2"/>
        <v>0</v>
      </c>
    </row>
    <row r="36" spans="1:23" ht="13">
      <c r="A36" s="5" t="s">
        <v>218</v>
      </c>
      <c r="B36" s="6" t="e">
        <f>'4)Operating Budget'!K21</f>
        <v>#DIV/0!</v>
      </c>
    </row>
    <row r="37" spans="1:23">
      <c r="A37" s="3" t="s">
        <v>219</v>
      </c>
      <c r="B37" s="6" t="e">
        <f>B35*B36</f>
        <v>#DIV/0!</v>
      </c>
      <c r="C37" s="3" t="s">
        <v>81</v>
      </c>
      <c r="D37" s="7"/>
      <c r="E37" s="6" t="e">
        <f t="shared" ref="E37:W37" si="3">D42</f>
        <v>#DIV/0!</v>
      </c>
      <c r="F37" s="6" t="e">
        <f t="shared" si="3"/>
        <v>#DIV/0!</v>
      </c>
      <c r="G37" s="6" t="e">
        <f t="shared" si="3"/>
        <v>#DIV/0!</v>
      </c>
      <c r="H37" s="6" t="e">
        <f t="shared" si="3"/>
        <v>#DIV/0!</v>
      </c>
      <c r="I37" s="6" t="e">
        <f t="shared" si="3"/>
        <v>#DIV/0!</v>
      </c>
      <c r="J37" s="6" t="e">
        <f t="shared" si="3"/>
        <v>#DIV/0!</v>
      </c>
      <c r="K37" s="6" t="e">
        <f t="shared" si="3"/>
        <v>#DIV/0!</v>
      </c>
      <c r="L37" s="6" t="e">
        <f t="shared" si="3"/>
        <v>#DIV/0!</v>
      </c>
      <c r="M37" s="6" t="e">
        <f t="shared" si="3"/>
        <v>#DIV/0!</v>
      </c>
      <c r="N37" s="6" t="e">
        <f t="shared" si="3"/>
        <v>#DIV/0!</v>
      </c>
      <c r="O37" s="6" t="e">
        <f t="shared" si="3"/>
        <v>#DIV/0!</v>
      </c>
      <c r="P37" s="6" t="e">
        <f t="shared" si="3"/>
        <v>#DIV/0!</v>
      </c>
      <c r="Q37" s="6" t="e">
        <f t="shared" si="3"/>
        <v>#DIV/0!</v>
      </c>
      <c r="R37" s="6" t="e">
        <f t="shared" si="3"/>
        <v>#DIV/0!</v>
      </c>
      <c r="S37" s="6" t="e">
        <f t="shared" si="3"/>
        <v>#DIV/0!</v>
      </c>
      <c r="T37" s="6" t="e">
        <f t="shared" si="3"/>
        <v>#DIV/0!</v>
      </c>
      <c r="U37" s="6" t="e">
        <f t="shared" si="3"/>
        <v>#DIV/0!</v>
      </c>
      <c r="V37" s="6" t="e">
        <f t="shared" si="3"/>
        <v>#DIV/0!</v>
      </c>
      <c r="W37" s="6" t="e">
        <f t="shared" si="3"/>
        <v>#DIV/0!</v>
      </c>
    </row>
    <row r="38" spans="1:23" ht="13">
      <c r="A38" s="5" t="s">
        <v>220</v>
      </c>
      <c r="B38" s="72">
        <f>'5)15 Yr Projection'!C15</f>
        <v>0.03</v>
      </c>
      <c r="C38" s="3" t="s">
        <v>221</v>
      </c>
      <c r="D38" s="6">
        <f t="shared" ref="D38:W38" si="4">D35</f>
        <v>0</v>
      </c>
      <c r="E38" s="6">
        <f t="shared" si="4"/>
        <v>0</v>
      </c>
      <c r="F38" s="6">
        <f t="shared" si="4"/>
        <v>0</v>
      </c>
      <c r="G38" s="6">
        <f t="shared" si="4"/>
        <v>0</v>
      </c>
      <c r="H38" s="6">
        <f t="shared" si="4"/>
        <v>0</v>
      </c>
      <c r="I38" s="6">
        <f t="shared" si="4"/>
        <v>0</v>
      </c>
      <c r="J38" s="6">
        <f t="shared" si="4"/>
        <v>0</v>
      </c>
      <c r="K38" s="6">
        <f t="shared" si="4"/>
        <v>0</v>
      </c>
      <c r="L38" s="6">
        <f t="shared" si="4"/>
        <v>0</v>
      </c>
      <c r="M38" s="6">
        <f t="shared" si="4"/>
        <v>0</v>
      </c>
      <c r="N38" s="6">
        <f t="shared" si="4"/>
        <v>0</v>
      </c>
      <c r="O38" s="6">
        <f t="shared" si="4"/>
        <v>0</v>
      </c>
      <c r="P38" s="6">
        <f t="shared" si="4"/>
        <v>0</v>
      </c>
      <c r="Q38" s="6">
        <f t="shared" si="4"/>
        <v>0</v>
      </c>
      <c r="R38" s="6">
        <f t="shared" si="4"/>
        <v>0</v>
      </c>
      <c r="S38" s="6">
        <f t="shared" si="4"/>
        <v>0</v>
      </c>
      <c r="T38" s="6">
        <f t="shared" si="4"/>
        <v>0</v>
      </c>
      <c r="U38" s="6">
        <f t="shared" si="4"/>
        <v>0</v>
      </c>
      <c r="V38" s="6">
        <f t="shared" si="4"/>
        <v>0</v>
      </c>
      <c r="W38" s="6">
        <f t="shared" si="4"/>
        <v>0</v>
      </c>
    </row>
    <row r="39" spans="1:23" ht="13">
      <c r="A39" s="5" t="s">
        <v>222</v>
      </c>
      <c r="B39" s="156">
        <v>0.03</v>
      </c>
      <c r="C39" s="3" t="s">
        <v>223</v>
      </c>
      <c r="D39" s="6" t="e">
        <f>B37</f>
        <v>#DIV/0!</v>
      </c>
      <c r="E39" s="6" t="e">
        <f t="shared" ref="E39:W39" si="5">D39*(1+$B$38)</f>
        <v>#DIV/0!</v>
      </c>
      <c r="F39" s="6" t="e">
        <f t="shared" si="5"/>
        <v>#DIV/0!</v>
      </c>
      <c r="G39" s="6" t="e">
        <f t="shared" si="5"/>
        <v>#DIV/0!</v>
      </c>
      <c r="H39" s="6" t="e">
        <f t="shared" si="5"/>
        <v>#DIV/0!</v>
      </c>
      <c r="I39" s="6" t="e">
        <f t="shared" si="5"/>
        <v>#DIV/0!</v>
      </c>
      <c r="J39" s="6" t="e">
        <f t="shared" si="5"/>
        <v>#DIV/0!</v>
      </c>
      <c r="K39" s="6" t="e">
        <f t="shared" si="5"/>
        <v>#DIV/0!</v>
      </c>
      <c r="L39" s="6" t="e">
        <f t="shared" si="5"/>
        <v>#DIV/0!</v>
      </c>
      <c r="M39" s="6" t="e">
        <f t="shared" si="5"/>
        <v>#DIV/0!</v>
      </c>
      <c r="N39" s="6" t="e">
        <f t="shared" si="5"/>
        <v>#DIV/0!</v>
      </c>
      <c r="O39" s="6" t="e">
        <f t="shared" si="5"/>
        <v>#DIV/0!</v>
      </c>
      <c r="P39" s="6" t="e">
        <f t="shared" si="5"/>
        <v>#DIV/0!</v>
      </c>
      <c r="Q39" s="6" t="e">
        <f t="shared" si="5"/>
        <v>#DIV/0!</v>
      </c>
      <c r="R39" s="6" t="e">
        <f t="shared" si="5"/>
        <v>#DIV/0!</v>
      </c>
      <c r="S39" s="6" t="e">
        <f t="shared" si="5"/>
        <v>#DIV/0!</v>
      </c>
      <c r="T39" s="6" t="e">
        <f t="shared" si="5"/>
        <v>#DIV/0!</v>
      </c>
      <c r="U39" s="6" t="e">
        <f t="shared" si="5"/>
        <v>#DIV/0!</v>
      </c>
      <c r="V39" s="6" t="e">
        <f t="shared" si="5"/>
        <v>#DIV/0!</v>
      </c>
      <c r="W39" s="6" t="e">
        <f t="shared" si="5"/>
        <v>#DIV/0!</v>
      </c>
    </row>
    <row r="40" spans="1:23">
      <c r="C40" s="3" t="s">
        <v>224</v>
      </c>
      <c r="D40" s="6" t="e">
        <f t="shared" ref="D40:W40" si="6">-D38+D39</f>
        <v>#DIV/0!</v>
      </c>
      <c r="E40" s="6" t="e">
        <f t="shared" si="6"/>
        <v>#DIV/0!</v>
      </c>
      <c r="F40" s="6" t="e">
        <f t="shared" si="6"/>
        <v>#DIV/0!</v>
      </c>
      <c r="G40" s="6" t="e">
        <f t="shared" si="6"/>
        <v>#DIV/0!</v>
      </c>
      <c r="H40" s="6" t="e">
        <f t="shared" si="6"/>
        <v>#DIV/0!</v>
      </c>
      <c r="I40" s="6" t="e">
        <f t="shared" si="6"/>
        <v>#DIV/0!</v>
      </c>
      <c r="J40" s="6" t="e">
        <f t="shared" si="6"/>
        <v>#DIV/0!</v>
      </c>
      <c r="K40" s="6" t="e">
        <f t="shared" si="6"/>
        <v>#DIV/0!</v>
      </c>
      <c r="L40" s="6" t="e">
        <f t="shared" si="6"/>
        <v>#DIV/0!</v>
      </c>
      <c r="M40" s="6" t="e">
        <f t="shared" si="6"/>
        <v>#DIV/0!</v>
      </c>
      <c r="N40" s="6" t="e">
        <f t="shared" si="6"/>
        <v>#DIV/0!</v>
      </c>
      <c r="O40" s="6" t="e">
        <f t="shared" si="6"/>
        <v>#DIV/0!</v>
      </c>
      <c r="P40" s="6" t="e">
        <f t="shared" si="6"/>
        <v>#DIV/0!</v>
      </c>
      <c r="Q40" s="6" t="e">
        <f t="shared" si="6"/>
        <v>#DIV/0!</v>
      </c>
      <c r="R40" s="6" t="e">
        <f t="shared" si="6"/>
        <v>#DIV/0!</v>
      </c>
      <c r="S40" s="6" t="e">
        <f t="shared" si="6"/>
        <v>#DIV/0!</v>
      </c>
      <c r="T40" s="6" t="e">
        <f t="shared" si="6"/>
        <v>#DIV/0!</v>
      </c>
      <c r="U40" s="6" t="e">
        <f t="shared" si="6"/>
        <v>#DIV/0!</v>
      </c>
      <c r="V40" s="6" t="e">
        <f t="shared" si="6"/>
        <v>#DIV/0!</v>
      </c>
      <c r="W40" s="6" t="e">
        <f t="shared" si="6"/>
        <v>#DIV/0!</v>
      </c>
    </row>
    <row r="41" spans="1:23">
      <c r="C41" s="3" t="s">
        <v>104</v>
      </c>
      <c r="D41" s="6">
        <f t="shared" ref="D41:W41" si="7">$B$39*D37</f>
        <v>0</v>
      </c>
      <c r="E41" s="6" t="e">
        <f t="shared" si="7"/>
        <v>#DIV/0!</v>
      </c>
      <c r="F41" s="6" t="e">
        <f t="shared" si="7"/>
        <v>#DIV/0!</v>
      </c>
      <c r="G41" s="6" t="e">
        <f t="shared" si="7"/>
        <v>#DIV/0!</v>
      </c>
      <c r="H41" s="6" t="e">
        <f t="shared" si="7"/>
        <v>#DIV/0!</v>
      </c>
      <c r="I41" s="6" t="e">
        <f t="shared" si="7"/>
        <v>#DIV/0!</v>
      </c>
      <c r="J41" s="6" t="e">
        <f t="shared" si="7"/>
        <v>#DIV/0!</v>
      </c>
      <c r="K41" s="6" t="e">
        <f t="shared" si="7"/>
        <v>#DIV/0!</v>
      </c>
      <c r="L41" s="6" t="e">
        <f t="shared" si="7"/>
        <v>#DIV/0!</v>
      </c>
      <c r="M41" s="6" t="e">
        <f t="shared" si="7"/>
        <v>#DIV/0!</v>
      </c>
      <c r="N41" s="6" t="e">
        <f t="shared" si="7"/>
        <v>#DIV/0!</v>
      </c>
      <c r="O41" s="6" t="e">
        <f t="shared" si="7"/>
        <v>#DIV/0!</v>
      </c>
      <c r="P41" s="6" t="e">
        <f t="shared" si="7"/>
        <v>#DIV/0!</v>
      </c>
      <c r="Q41" s="6" t="e">
        <f t="shared" si="7"/>
        <v>#DIV/0!</v>
      </c>
      <c r="R41" s="6" t="e">
        <f t="shared" si="7"/>
        <v>#DIV/0!</v>
      </c>
      <c r="S41" s="6" t="e">
        <f t="shared" si="7"/>
        <v>#DIV/0!</v>
      </c>
      <c r="T41" s="6" t="e">
        <f t="shared" si="7"/>
        <v>#DIV/0!</v>
      </c>
      <c r="U41" s="6" t="e">
        <f t="shared" si="7"/>
        <v>#DIV/0!</v>
      </c>
      <c r="V41" s="6" t="e">
        <f t="shared" si="7"/>
        <v>#DIV/0!</v>
      </c>
      <c r="W41" s="6" t="e">
        <f t="shared" si="7"/>
        <v>#DIV/0!</v>
      </c>
    </row>
    <row r="42" spans="1:23">
      <c r="C42" s="3" t="s">
        <v>82</v>
      </c>
      <c r="D42" s="6" t="e">
        <f t="shared" ref="D42:W42" si="8">D37+D40+D41</f>
        <v>#DIV/0!</v>
      </c>
      <c r="E42" s="6" t="e">
        <f t="shared" si="8"/>
        <v>#DIV/0!</v>
      </c>
      <c r="F42" s="6" t="e">
        <f t="shared" si="8"/>
        <v>#DIV/0!</v>
      </c>
      <c r="G42" s="6" t="e">
        <f t="shared" si="8"/>
        <v>#DIV/0!</v>
      </c>
      <c r="H42" s="6" t="e">
        <f t="shared" si="8"/>
        <v>#DIV/0!</v>
      </c>
      <c r="I42" s="6" t="e">
        <f t="shared" si="8"/>
        <v>#DIV/0!</v>
      </c>
      <c r="J42" s="6" t="e">
        <f t="shared" si="8"/>
        <v>#DIV/0!</v>
      </c>
      <c r="K42" s="6" t="e">
        <f t="shared" si="8"/>
        <v>#DIV/0!</v>
      </c>
      <c r="L42" s="6" t="e">
        <f t="shared" si="8"/>
        <v>#DIV/0!</v>
      </c>
      <c r="M42" s="6" t="e">
        <f t="shared" si="8"/>
        <v>#DIV/0!</v>
      </c>
      <c r="N42" s="6" t="e">
        <f t="shared" si="8"/>
        <v>#DIV/0!</v>
      </c>
      <c r="O42" s="6" t="e">
        <f t="shared" si="8"/>
        <v>#DIV/0!</v>
      </c>
      <c r="P42" s="6" t="e">
        <f t="shared" si="8"/>
        <v>#DIV/0!</v>
      </c>
      <c r="Q42" s="6" t="e">
        <f t="shared" si="8"/>
        <v>#DIV/0!</v>
      </c>
      <c r="R42" s="6" t="e">
        <f t="shared" si="8"/>
        <v>#DIV/0!</v>
      </c>
      <c r="S42" s="6" t="e">
        <f t="shared" si="8"/>
        <v>#DIV/0!</v>
      </c>
      <c r="T42" s="6" t="e">
        <f t="shared" si="8"/>
        <v>#DIV/0!</v>
      </c>
      <c r="U42" s="6" t="e">
        <f t="shared" si="8"/>
        <v>#DIV/0!</v>
      </c>
      <c r="V42" s="6" t="e">
        <f t="shared" si="8"/>
        <v>#DIV/0!</v>
      </c>
      <c r="W42" s="6" t="e">
        <f t="shared" si="8"/>
        <v>#DIV/0!</v>
      </c>
    </row>
    <row r="44" spans="1:23">
      <c r="B44" s="3" t="s">
        <v>225</v>
      </c>
    </row>
    <row r="45" spans="1:23">
      <c r="B45" s="3" t="s">
        <v>226</v>
      </c>
      <c r="C45" s="157" t="e">
        <f>MAX(0,-NPV(B39,D40:M40))</f>
        <v>#DIV/0!</v>
      </c>
    </row>
    <row r="46" spans="1:23">
      <c r="B46" s="3" t="s">
        <v>227</v>
      </c>
      <c r="C46" s="157" t="e">
        <f>MAX(0,-NPV(B39,D40:R40))</f>
        <v>#DIV/0!</v>
      </c>
    </row>
    <row r="47" spans="1:23">
      <c r="B47" s="3" t="s">
        <v>228</v>
      </c>
      <c r="C47" s="157" t="e">
        <f>MAX(0,-NPV(B39,D40:W40))</f>
        <v>#DIV/0!</v>
      </c>
    </row>
  </sheetData>
  <mergeCells count="4">
    <mergeCell ref="A1:C1"/>
    <mergeCell ref="B3:C3"/>
    <mergeCell ref="B4:C4"/>
    <mergeCell ref="B5:C5"/>
  </mergeCells>
  <phoneticPr fontId="0" type="noConversion"/>
  <printOptions horizontalCentered="1"/>
  <pageMargins left="0.75" right="0.75" top="1" bottom="1" header="0.5" footer="0.5"/>
  <pageSetup scale="28" orientation="portrait" r:id="rId1"/>
  <headerFooter alignWithMargins="0"/>
  <colBreaks count="1" manualBreakCount="1">
    <brk id="1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51"/>
  <sheetViews>
    <sheetView zoomScale="120" zoomScaleNormal="100" workbookViewId="0">
      <selection activeCell="C8" sqref="C8"/>
    </sheetView>
  </sheetViews>
  <sheetFormatPr defaultRowHeight="12.5"/>
  <cols>
    <col min="1" max="1" width="4" bestFit="1" customWidth="1"/>
    <col min="2" max="2" width="14.81640625" customWidth="1"/>
    <col min="3" max="3" width="9.26953125" bestFit="1" customWidth="1"/>
    <col min="4" max="4" width="9.453125" bestFit="1" customWidth="1"/>
    <col min="5" max="5" width="9.7265625" bestFit="1" customWidth="1"/>
    <col min="6" max="6" width="9.453125" bestFit="1" customWidth="1"/>
    <col min="7" max="8" width="9.26953125" bestFit="1" customWidth="1"/>
  </cols>
  <sheetData>
    <row r="1" spans="2:10" ht="16" thickBot="1">
      <c r="B1" s="450" t="s">
        <v>337</v>
      </c>
      <c r="C1" s="451"/>
      <c r="D1" s="451"/>
      <c r="E1" s="451"/>
      <c r="F1" s="451"/>
      <c r="G1" s="451"/>
      <c r="H1" s="467"/>
    </row>
    <row r="3" spans="2:10" ht="13">
      <c r="B3" s="4" t="s">
        <v>157</v>
      </c>
      <c r="C3" s="255">
        <f>'1)Summary &amp; Gap'!D4</f>
        <v>0</v>
      </c>
    </row>
    <row r="4" spans="2:10" ht="13">
      <c r="B4" s="4" t="s">
        <v>230</v>
      </c>
      <c r="C4" s="149">
        <f>'1)Summary &amp; Gap'!D10</f>
        <v>0</v>
      </c>
    </row>
    <row r="5" spans="2:10" ht="6" customHeight="1"/>
    <row r="6" spans="2:10" ht="13">
      <c r="B6" s="160" t="s">
        <v>336</v>
      </c>
      <c r="D6">
        <f>'1)Summary &amp; Gap'!D7:E7</f>
        <v>0</v>
      </c>
    </row>
    <row r="7" spans="2:10">
      <c r="C7" s="164">
        <v>1</v>
      </c>
      <c r="D7" s="164">
        <v>2</v>
      </c>
      <c r="E7" s="164">
        <v>3</v>
      </c>
      <c r="F7" s="164">
        <v>4</v>
      </c>
      <c r="G7" s="164">
        <v>5</v>
      </c>
      <c r="H7" s="164">
        <v>6</v>
      </c>
      <c r="I7" s="2"/>
      <c r="J7" s="2"/>
    </row>
    <row r="8" spans="2:10">
      <c r="B8" s="163" t="s">
        <v>1</v>
      </c>
      <c r="C8" s="7">
        <v>13850</v>
      </c>
      <c r="D8" s="7">
        <v>15800</v>
      </c>
      <c r="E8" s="7">
        <v>17800</v>
      </c>
      <c r="F8" s="7">
        <v>19750</v>
      </c>
      <c r="G8" s="7">
        <v>21350</v>
      </c>
      <c r="H8" s="7">
        <v>22950</v>
      </c>
    </row>
    <row r="9" spans="2:10">
      <c r="B9" s="163" t="s">
        <v>2</v>
      </c>
      <c r="C9" s="6">
        <f t="shared" ref="C9:H9" si="0">0.8*C10</f>
        <v>18440</v>
      </c>
      <c r="D9" s="6">
        <f t="shared" si="0"/>
        <v>21080</v>
      </c>
      <c r="E9" s="6">
        <f t="shared" si="0"/>
        <v>23720</v>
      </c>
      <c r="F9" s="6">
        <f t="shared" si="0"/>
        <v>26320</v>
      </c>
      <c r="G9" s="6">
        <f t="shared" si="0"/>
        <v>28440</v>
      </c>
      <c r="H9" s="6">
        <f t="shared" si="0"/>
        <v>30560</v>
      </c>
      <c r="I9" s="6"/>
    </row>
    <row r="10" spans="2:10">
      <c r="B10" s="163" t="s">
        <v>0</v>
      </c>
      <c r="C10" s="7">
        <v>23050</v>
      </c>
      <c r="D10" s="7">
        <v>26350</v>
      </c>
      <c r="E10" s="7">
        <v>29650</v>
      </c>
      <c r="F10" s="7">
        <v>32900</v>
      </c>
      <c r="G10" s="7">
        <v>35550</v>
      </c>
      <c r="H10" s="7">
        <v>38200</v>
      </c>
      <c r="I10" s="6"/>
      <c r="J10" s="6"/>
    </row>
    <row r="11" spans="2:10">
      <c r="B11" s="163" t="s">
        <v>3</v>
      </c>
      <c r="C11" s="6">
        <f t="shared" ref="C11:H11" si="1">1.2*C10</f>
        <v>27660</v>
      </c>
      <c r="D11" s="6">
        <f t="shared" si="1"/>
        <v>31620</v>
      </c>
      <c r="E11" s="6">
        <f t="shared" si="1"/>
        <v>35580</v>
      </c>
      <c r="F11" s="6">
        <f t="shared" si="1"/>
        <v>39480</v>
      </c>
      <c r="G11" s="6">
        <f t="shared" si="1"/>
        <v>42660</v>
      </c>
      <c r="H11" s="6">
        <f t="shared" si="1"/>
        <v>45840</v>
      </c>
      <c r="J11" s="6"/>
    </row>
    <row r="12" spans="2:10">
      <c r="B12" s="163" t="s">
        <v>4</v>
      </c>
      <c r="C12" s="6">
        <f t="shared" ref="C12:H12" si="2">2*C10</f>
        <v>46100</v>
      </c>
      <c r="D12" s="6">
        <f t="shared" si="2"/>
        <v>52700</v>
      </c>
      <c r="E12" s="6">
        <f t="shared" si="2"/>
        <v>59300</v>
      </c>
      <c r="F12" s="6">
        <f t="shared" si="2"/>
        <v>65800</v>
      </c>
      <c r="G12" s="6">
        <f t="shared" si="2"/>
        <v>71100</v>
      </c>
      <c r="H12" s="6">
        <f t="shared" si="2"/>
        <v>76400</v>
      </c>
      <c r="I12" s="6"/>
      <c r="J12" s="6"/>
    </row>
    <row r="13" spans="2:10">
      <c r="B13" s="3"/>
      <c r="C13" s="162" t="s">
        <v>231</v>
      </c>
      <c r="D13" s="161"/>
      <c r="E13" s="162" t="s">
        <v>232</v>
      </c>
      <c r="F13" s="161"/>
      <c r="G13" s="161"/>
      <c r="H13" s="162" t="s">
        <v>235</v>
      </c>
      <c r="I13" s="6"/>
      <c r="J13" s="6"/>
    </row>
    <row r="15" spans="2:10" ht="13">
      <c r="B15" s="160" t="s">
        <v>5</v>
      </c>
    </row>
    <row r="16" spans="2:10" ht="14">
      <c r="C16" s="164">
        <v>1.5</v>
      </c>
      <c r="D16" s="164">
        <v>4.5</v>
      </c>
      <c r="F16" s="312" t="s">
        <v>187</v>
      </c>
    </row>
    <row r="17" spans="2:7" ht="14">
      <c r="B17" s="163" t="s">
        <v>1</v>
      </c>
      <c r="C17" s="6">
        <f>(C8+D8)/2</f>
        <v>14825</v>
      </c>
      <c r="D17" s="6">
        <f>(F8+G8)/2</f>
        <v>20550</v>
      </c>
      <c r="F17" s="313" t="s">
        <v>6</v>
      </c>
      <c r="G17" s="351"/>
    </row>
    <row r="18" spans="2:7" ht="14">
      <c r="B18" s="163" t="s">
        <v>2</v>
      </c>
      <c r="C18" s="6">
        <f>(C9+D9)/2</f>
        <v>19760</v>
      </c>
      <c r="D18" s="6">
        <f>(F9+G9)/2</f>
        <v>27380</v>
      </c>
      <c r="F18" s="313" t="s">
        <v>188</v>
      </c>
      <c r="G18" s="351">
        <v>90</v>
      </c>
    </row>
    <row r="19" spans="2:7" ht="14">
      <c r="B19" s="163" t="s">
        <v>0</v>
      </c>
      <c r="C19" s="6">
        <f>(C10+D10)/2</f>
        <v>24700</v>
      </c>
      <c r="D19" s="6">
        <f>(F10+G10)/2</f>
        <v>34225</v>
      </c>
      <c r="F19" s="313" t="s">
        <v>7</v>
      </c>
      <c r="G19" s="351">
        <v>155</v>
      </c>
    </row>
    <row r="20" spans="2:7" ht="14">
      <c r="B20" s="163" t="s">
        <v>3</v>
      </c>
      <c r="C20" s="6">
        <f>(C11+D11)/2</f>
        <v>29640</v>
      </c>
      <c r="D20" s="6">
        <f>(F11+G11)/2</f>
        <v>41070</v>
      </c>
      <c r="F20" s="313" t="s">
        <v>8</v>
      </c>
      <c r="G20" s="351">
        <v>190</v>
      </c>
    </row>
    <row r="21" spans="2:7" ht="14">
      <c r="B21" s="163" t="s">
        <v>4</v>
      </c>
      <c r="C21" s="6">
        <f>(C12+D12)/2</f>
        <v>49400</v>
      </c>
      <c r="D21" s="6">
        <f>(F12+G12)/2</f>
        <v>68450</v>
      </c>
      <c r="F21" s="313" t="s">
        <v>9</v>
      </c>
      <c r="G21" s="351">
        <v>230</v>
      </c>
    </row>
    <row r="22" spans="2:7">
      <c r="B22" s="3"/>
      <c r="C22" s="162" t="s">
        <v>233</v>
      </c>
      <c r="D22" s="162" t="s">
        <v>234</v>
      </c>
      <c r="F22" s="3"/>
    </row>
    <row r="24" spans="2:7" ht="13">
      <c r="B24" s="160" t="s">
        <v>352</v>
      </c>
    </row>
    <row r="25" spans="2:7">
      <c r="C25" s="8" t="s">
        <v>1</v>
      </c>
      <c r="D25" s="8" t="s">
        <v>2</v>
      </c>
      <c r="E25" s="8" t="s">
        <v>0</v>
      </c>
      <c r="F25" s="8" t="s">
        <v>3</v>
      </c>
      <c r="G25" s="8" t="s">
        <v>4</v>
      </c>
    </row>
    <row r="26" spans="2:7">
      <c r="B26" s="163" t="s">
        <v>6</v>
      </c>
      <c r="C26" s="6">
        <f>0.3*G26</f>
        <v>345.75</v>
      </c>
      <c r="D26" s="6">
        <f>0.4*G26</f>
        <v>461</v>
      </c>
      <c r="E26" s="6">
        <f>0.5*G26</f>
        <v>576.25</v>
      </c>
      <c r="F26" s="6">
        <f>0.6*G26</f>
        <v>691.5</v>
      </c>
      <c r="G26" s="6">
        <f>C12/12*0.3</f>
        <v>1152.5</v>
      </c>
    </row>
    <row r="27" spans="2:7">
      <c r="B27" s="163" t="s">
        <v>188</v>
      </c>
      <c r="C27" s="6">
        <f>0.3*G27</f>
        <v>370.5</v>
      </c>
      <c r="D27" s="6">
        <f>0.4*G27</f>
        <v>494</v>
      </c>
      <c r="E27" s="6">
        <f>0.5*G27</f>
        <v>617.5</v>
      </c>
      <c r="F27" s="6">
        <f>0.6*G27</f>
        <v>741</v>
      </c>
      <c r="G27" s="6">
        <f>C21/12*0.3</f>
        <v>1235</v>
      </c>
    </row>
    <row r="28" spans="2:7">
      <c r="B28" s="163" t="s">
        <v>7</v>
      </c>
      <c r="C28" s="6">
        <f>0.3*G28</f>
        <v>444.75</v>
      </c>
      <c r="D28" s="6">
        <f>0.4*G28</f>
        <v>593</v>
      </c>
      <c r="E28" s="6">
        <f>0.5*G28</f>
        <v>741.25</v>
      </c>
      <c r="F28" s="6">
        <f>0.6*G28</f>
        <v>889.5</v>
      </c>
      <c r="G28" s="6">
        <f>E12/12*0.3</f>
        <v>1482.5</v>
      </c>
    </row>
    <row r="29" spans="2:7">
      <c r="B29" s="163" t="s">
        <v>8</v>
      </c>
      <c r="C29" s="6">
        <f>0.3*G29</f>
        <v>513.375</v>
      </c>
      <c r="D29" s="6">
        <f>0.4*G29</f>
        <v>684.5</v>
      </c>
      <c r="E29" s="6">
        <f>0.5*G29</f>
        <v>855.625</v>
      </c>
      <c r="F29" s="6">
        <f>0.6*G29</f>
        <v>1026.75</v>
      </c>
      <c r="G29" s="6">
        <f>D21/12*0.3</f>
        <v>1711.25</v>
      </c>
    </row>
    <row r="30" spans="2:7">
      <c r="B30" s="163" t="s">
        <v>9</v>
      </c>
      <c r="C30" s="6">
        <f>0.3*G30</f>
        <v>573</v>
      </c>
      <c r="D30" s="6">
        <f>0.4*G30</f>
        <v>764</v>
      </c>
      <c r="E30" s="6">
        <f>0.5*G30</f>
        <v>955</v>
      </c>
      <c r="F30" s="6">
        <f>0.6*G30</f>
        <v>1146</v>
      </c>
      <c r="G30" s="6">
        <f>H12/12*0.3</f>
        <v>1910</v>
      </c>
    </row>
    <row r="32" spans="2:7" ht="13">
      <c r="B32" s="160" t="s">
        <v>353</v>
      </c>
    </row>
    <row r="33" spans="2:8">
      <c r="C33" s="8" t="s">
        <v>1</v>
      </c>
      <c r="D33" s="8" t="s">
        <v>2</v>
      </c>
      <c r="E33" s="8" t="s">
        <v>0</v>
      </c>
      <c r="F33" s="8" t="s">
        <v>3</v>
      </c>
      <c r="G33" s="8" t="s">
        <v>4</v>
      </c>
    </row>
    <row r="34" spans="2:8">
      <c r="B34" s="163" t="s">
        <v>6</v>
      </c>
      <c r="C34" s="6">
        <f>C26-$G$17</f>
        <v>345.75</v>
      </c>
      <c r="D34" s="6">
        <f>D26-$G$17</f>
        <v>461</v>
      </c>
      <c r="E34" s="6">
        <f>E26-$G$17</f>
        <v>576.25</v>
      </c>
      <c r="F34" s="6">
        <f>F26-$G$17</f>
        <v>691.5</v>
      </c>
      <c r="G34" s="6">
        <f>G26-$G$17</f>
        <v>1152.5</v>
      </c>
    </row>
    <row r="35" spans="2:8">
      <c r="B35" s="163" t="s">
        <v>188</v>
      </c>
      <c r="C35" s="6">
        <f>C27-$G$18</f>
        <v>280.5</v>
      </c>
      <c r="D35" s="6">
        <f>D27-$G$18</f>
        <v>404</v>
      </c>
      <c r="E35" s="6">
        <f>E27-$G$18</f>
        <v>527.5</v>
      </c>
      <c r="F35" s="6">
        <f>F27-$G$18</f>
        <v>651</v>
      </c>
      <c r="G35" s="6">
        <f>G27-$G$18</f>
        <v>1145</v>
      </c>
    </row>
    <row r="36" spans="2:8">
      <c r="B36" s="163" t="s">
        <v>7</v>
      </c>
      <c r="C36" s="6">
        <f>C28-$G$19</f>
        <v>289.75</v>
      </c>
      <c r="D36" s="6">
        <f>D28-$G$19</f>
        <v>438</v>
      </c>
      <c r="E36" s="6">
        <f>E28-$G$19</f>
        <v>586.25</v>
      </c>
      <c r="F36" s="6">
        <f>F28-$G$19</f>
        <v>734.5</v>
      </c>
      <c r="G36" s="6">
        <f>G28-$G$19</f>
        <v>1327.5</v>
      </c>
    </row>
    <row r="37" spans="2:8">
      <c r="B37" s="163" t="s">
        <v>8</v>
      </c>
      <c r="C37" s="6">
        <f>C29-$G$20</f>
        <v>323.375</v>
      </c>
      <c r="D37" s="6">
        <f>D29-$G$20</f>
        <v>494.5</v>
      </c>
      <c r="E37" s="6">
        <f>E29-$G$20</f>
        <v>665.625</v>
      </c>
      <c r="F37" s="6">
        <f>F29-$G$20</f>
        <v>836.75</v>
      </c>
      <c r="G37" s="6">
        <f>G29-$G$20</f>
        <v>1521.25</v>
      </c>
    </row>
    <row r="38" spans="2:8">
      <c r="B38" s="163" t="s">
        <v>9</v>
      </c>
      <c r="C38" s="6">
        <f>C30-$G$21</f>
        <v>343</v>
      </c>
      <c r="D38" s="6">
        <f>D30-$G$21</f>
        <v>534</v>
      </c>
      <c r="E38" s="6">
        <f>E30-$G$21</f>
        <v>725</v>
      </c>
      <c r="F38" s="6">
        <f>F30-$G$21</f>
        <v>916</v>
      </c>
      <c r="G38" s="6">
        <f>G30-$G$21</f>
        <v>1680</v>
      </c>
    </row>
    <row r="39" spans="2:8">
      <c r="C39" s="6"/>
    </row>
    <row r="40" spans="2:8" ht="13">
      <c r="B40" s="160" t="s">
        <v>319</v>
      </c>
      <c r="F40" s="160" t="s">
        <v>239</v>
      </c>
    </row>
    <row r="41" spans="2:8" ht="25">
      <c r="C41" s="165" t="s">
        <v>236</v>
      </c>
      <c r="D41" s="165" t="s">
        <v>237</v>
      </c>
      <c r="E41" s="165" t="s">
        <v>238</v>
      </c>
      <c r="F41" s="286" t="s">
        <v>236</v>
      </c>
      <c r="G41" s="286" t="s">
        <v>237</v>
      </c>
      <c r="H41" s="286" t="s">
        <v>238</v>
      </c>
    </row>
    <row r="42" spans="2:8">
      <c r="B42" s="163" t="s">
        <v>6</v>
      </c>
      <c r="C42" s="7">
        <v>503</v>
      </c>
      <c r="D42" s="7">
        <v>503</v>
      </c>
      <c r="E42" s="7">
        <v>490</v>
      </c>
      <c r="F42" s="249">
        <f>C42-$G$17</f>
        <v>503</v>
      </c>
      <c r="G42" s="46">
        <f>D42-$G$17</f>
        <v>503</v>
      </c>
      <c r="H42" s="46">
        <f>E42-$G$17</f>
        <v>490</v>
      </c>
    </row>
    <row r="43" spans="2:8">
      <c r="B43" s="163" t="s">
        <v>188</v>
      </c>
      <c r="C43" s="7">
        <v>624</v>
      </c>
      <c r="D43" s="7">
        <v>624</v>
      </c>
      <c r="E43" s="7">
        <v>624</v>
      </c>
      <c r="F43" s="250">
        <f>C43-$G$18</f>
        <v>534</v>
      </c>
      <c r="G43" s="6">
        <f>D43-$G$18</f>
        <v>534</v>
      </c>
      <c r="H43" s="6">
        <f>E43-$G$18</f>
        <v>534</v>
      </c>
    </row>
    <row r="44" spans="2:8">
      <c r="B44" s="163" t="s">
        <v>7</v>
      </c>
      <c r="C44" s="7">
        <v>773</v>
      </c>
      <c r="D44" s="7">
        <v>776</v>
      </c>
      <c r="E44" s="7">
        <v>776</v>
      </c>
      <c r="F44" s="250">
        <f>C44-$G$19</f>
        <v>618</v>
      </c>
      <c r="G44" s="6">
        <f>D44-$G$19</f>
        <v>621</v>
      </c>
      <c r="H44" s="6">
        <f>E44-$G$19</f>
        <v>621</v>
      </c>
    </row>
    <row r="45" spans="2:8">
      <c r="B45" s="163" t="s">
        <v>8</v>
      </c>
      <c r="C45" s="7">
        <v>893</v>
      </c>
      <c r="D45" s="7">
        <v>1032</v>
      </c>
      <c r="E45" s="7">
        <v>1032</v>
      </c>
      <c r="F45" s="250">
        <f>C45-$G$20</f>
        <v>703</v>
      </c>
      <c r="G45" s="6">
        <f>D45-$G$20</f>
        <v>842</v>
      </c>
      <c r="H45" s="6">
        <f>E45-$G$20</f>
        <v>842</v>
      </c>
    </row>
    <row r="46" spans="2:8">
      <c r="B46" s="163" t="s">
        <v>9</v>
      </c>
      <c r="C46" s="7">
        <v>996</v>
      </c>
      <c r="D46" s="7">
        <v>1238</v>
      </c>
      <c r="E46" s="7">
        <v>1251</v>
      </c>
      <c r="F46" s="250">
        <f>C46-$G$21</f>
        <v>766</v>
      </c>
      <c r="G46" s="6">
        <f>D46-$G$21</f>
        <v>1008</v>
      </c>
      <c r="H46" s="6">
        <f>E46-$G$21</f>
        <v>1021</v>
      </c>
    </row>
    <row r="48" spans="2:8" s="311" customFormat="1" ht="11.5"/>
    <row r="49" s="311" customFormat="1" ht="11.5"/>
    <row r="50" s="311" customFormat="1" ht="11.5"/>
    <row r="51" s="311" customFormat="1" ht="11.5"/>
  </sheetData>
  <mergeCells count="1">
    <mergeCell ref="B1:H1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58"/>
  <sheetViews>
    <sheetView zoomScaleNormal="100" workbookViewId="0">
      <selection activeCell="F24" sqref="F24"/>
    </sheetView>
  </sheetViews>
  <sheetFormatPr defaultRowHeight="12.5"/>
  <cols>
    <col min="1" max="1" width="4.453125" bestFit="1" customWidth="1"/>
    <col min="2" max="2" width="9.7265625" customWidth="1"/>
    <col min="3" max="3" width="9.26953125" style="1" bestFit="1" customWidth="1"/>
    <col min="4" max="4" width="11.7265625" style="1" customWidth="1"/>
    <col min="5" max="5" width="10.26953125" style="1" bestFit="1" customWidth="1"/>
    <col min="6" max="6" width="9.26953125" style="1" bestFit="1" customWidth="1"/>
    <col min="7" max="7" width="9.26953125" bestFit="1" customWidth="1"/>
    <col min="8" max="8" width="8.1796875" bestFit="1" customWidth="1"/>
    <col min="9" max="9" width="9.1796875" bestFit="1" customWidth="1"/>
    <col min="10" max="10" width="9.453125" hidden="1" customWidth="1"/>
    <col min="11" max="11" width="7.81640625" hidden="1" customWidth="1"/>
    <col min="12" max="12" width="2" style="87" customWidth="1"/>
    <col min="13" max="13" width="11.26953125" customWidth="1"/>
    <col min="14" max="18" width="9.26953125" bestFit="1" customWidth="1"/>
    <col min="19" max="19" width="12.1796875" bestFit="1" customWidth="1"/>
    <col min="20" max="20" width="13" bestFit="1" customWidth="1"/>
    <col min="21" max="21" width="7.1796875" hidden="1" customWidth="1"/>
    <col min="22" max="22" width="7.81640625" hidden="1" customWidth="1"/>
  </cols>
  <sheetData>
    <row r="1" spans="1:39" ht="16.5" customHeight="1" thickBot="1">
      <c r="A1" s="226"/>
      <c r="B1" s="500" t="s">
        <v>156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4"/>
    </row>
    <row r="2" spans="1:39" s="226" customFormat="1" ht="13" thickBot="1">
      <c r="L2" s="297"/>
    </row>
    <row r="3" spans="1:39" s="226" customFormat="1">
      <c r="B3" s="468" t="s">
        <v>292</v>
      </c>
      <c r="C3" s="468"/>
      <c r="D3" s="468"/>
      <c r="E3" s="469">
        <f>'1)Summary &amp; Gap'!D4</f>
        <v>0</v>
      </c>
      <c r="F3" s="469"/>
      <c r="G3" s="469"/>
      <c r="H3" s="469"/>
      <c r="I3" s="468" t="s">
        <v>320</v>
      </c>
      <c r="J3" s="468"/>
      <c r="K3" s="468"/>
      <c r="L3" s="469">
        <f>'1)Summary &amp; Gap'!D10</f>
        <v>0</v>
      </c>
      <c r="M3" s="469"/>
      <c r="N3" s="469"/>
      <c r="O3" s="469"/>
      <c r="P3" s="469"/>
      <c r="Q3" s="469"/>
      <c r="R3" s="469"/>
      <c r="S3" s="469"/>
      <c r="T3" s="469"/>
      <c r="U3" s="470"/>
    </row>
    <row r="4" spans="1:39" s="226" customFormat="1" ht="3" customHeight="1">
      <c r="L4" s="229"/>
    </row>
    <row r="5" spans="1:39" s="226" customFormat="1" ht="27" customHeight="1">
      <c r="B5" s="287" t="s">
        <v>321</v>
      </c>
      <c r="C5" s="246" t="s">
        <v>13</v>
      </c>
      <c r="D5" s="288" t="s">
        <v>322</v>
      </c>
      <c r="E5" s="246" t="s">
        <v>10</v>
      </c>
      <c r="F5" s="246" t="s">
        <v>11</v>
      </c>
      <c r="G5" s="246" t="s">
        <v>12</v>
      </c>
      <c r="H5" s="289" t="s">
        <v>14</v>
      </c>
      <c r="I5" s="289" t="s">
        <v>186</v>
      </c>
      <c r="J5" s="290" t="s">
        <v>354</v>
      </c>
      <c r="K5" s="288" t="s">
        <v>189</v>
      </c>
      <c r="L5" s="229"/>
      <c r="M5" s="287" t="s">
        <v>323</v>
      </c>
      <c r="N5" s="246" t="s">
        <v>13</v>
      </c>
      <c r="O5" s="288" t="s">
        <v>322</v>
      </c>
      <c r="P5" s="246" t="s">
        <v>10</v>
      </c>
      <c r="Q5" s="246" t="s">
        <v>11</v>
      </c>
      <c r="R5" s="246" t="s">
        <v>12</v>
      </c>
      <c r="S5" s="289" t="s">
        <v>14</v>
      </c>
      <c r="T5" s="289" t="s">
        <v>186</v>
      </c>
      <c r="U5" s="290" t="s">
        <v>354</v>
      </c>
      <c r="V5" s="289" t="s">
        <v>189</v>
      </c>
    </row>
    <row r="6" spans="1:39">
      <c r="A6" s="226"/>
      <c r="B6" s="226"/>
      <c r="C6" s="429"/>
      <c r="D6" s="430" t="s">
        <v>324</v>
      </c>
      <c r="E6" s="429"/>
      <c r="F6" s="431"/>
      <c r="G6" s="432"/>
      <c r="H6" s="6">
        <f>C6*G6</f>
        <v>0</v>
      </c>
      <c r="I6" s="6">
        <f>H6*12</f>
        <v>0</v>
      </c>
      <c r="J6" s="291">
        <f>'2)Compliance Info'!C34</f>
        <v>345.75</v>
      </c>
      <c r="K6" s="12">
        <f>F6*C6</f>
        <v>0</v>
      </c>
      <c r="L6" s="12"/>
      <c r="N6" s="429"/>
      <c r="O6" s="430" t="s">
        <v>324</v>
      </c>
      <c r="P6" s="429"/>
      <c r="Q6" s="431"/>
      <c r="R6" s="432"/>
      <c r="S6" s="6">
        <f>N6*R6</f>
        <v>0</v>
      </c>
      <c r="T6" s="6">
        <f>S6*12</f>
        <v>0</v>
      </c>
      <c r="U6" s="291">
        <f>'2)Compliance Info'!C37</f>
        <v>323.375</v>
      </c>
      <c r="V6">
        <f>Q6*N6</f>
        <v>0</v>
      </c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</row>
    <row r="7" spans="1:39">
      <c r="A7" s="226"/>
      <c r="B7" s="226"/>
      <c r="C7" s="429"/>
      <c r="D7" s="433">
        <v>0.4</v>
      </c>
      <c r="E7" s="429"/>
      <c r="F7" s="431"/>
      <c r="G7" s="432"/>
      <c r="H7" s="6">
        <f>C7*G7</f>
        <v>0</v>
      </c>
      <c r="I7" s="6">
        <f>H7*12</f>
        <v>0</v>
      </c>
      <c r="J7" s="291">
        <f>'2)Compliance Info'!D34</f>
        <v>461</v>
      </c>
      <c r="K7" s="12">
        <f>F7*C7</f>
        <v>0</v>
      </c>
      <c r="L7" s="12"/>
      <c r="N7" s="429"/>
      <c r="O7" s="433">
        <v>0.4</v>
      </c>
      <c r="P7" s="429"/>
      <c r="Q7" s="431"/>
      <c r="R7" s="432"/>
      <c r="S7" s="6">
        <f>N7*R7</f>
        <v>0</v>
      </c>
      <c r="T7" s="6">
        <f>S7*12</f>
        <v>0</v>
      </c>
      <c r="U7" s="291">
        <f>'2)Compliance Info'!D37</f>
        <v>494.5</v>
      </c>
      <c r="V7">
        <f>Q7*N7</f>
        <v>0</v>
      </c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</row>
    <row r="8" spans="1:39">
      <c r="A8" s="226"/>
      <c r="B8" s="226"/>
      <c r="C8" s="429"/>
      <c r="D8" s="433">
        <v>0.5</v>
      </c>
      <c r="E8" s="429"/>
      <c r="F8" s="431"/>
      <c r="G8" s="432"/>
      <c r="H8" s="6">
        <f>C8*G8</f>
        <v>0</v>
      </c>
      <c r="I8" s="6">
        <f>H8*12</f>
        <v>0</v>
      </c>
      <c r="J8" s="291">
        <f>'2)Compliance Info'!E34</f>
        <v>576.25</v>
      </c>
      <c r="K8" s="12">
        <f>F8*C8</f>
        <v>0</v>
      </c>
      <c r="L8" s="12"/>
      <c r="N8" s="429"/>
      <c r="O8" s="433">
        <v>0.5</v>
      </c>
      <c r="P8" s="429"/>
      <c r="Q8" s="431"/>
      <c r="R8" s="432"/>
      <c r="S8" s="6">
        <f>N8*R8</f>
        <v>0</v>
      </c>
      <c r="T8" s="6">
        <f>S8*12</f>
        <v>0</v>
      </c>
      <c r="U8" s="291">
        <f>'2)Compliance Info'!E37</f>
        <v>665.625</v>
      </c>
      <c r="V8">
        <f>Q8*N8</f>
        <v>0</v>
      </c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</row>
    <row r="9" spans="1:39">
      <c r="A9" s="226"/>
      <c r="B9" s="226"/>
      <c r="C9" s="429"/>
      <c r="D9" s="433">
        <v>0.6</v>
      </c>
      <c r="E9" s="429"/>
      <c r="F9" s="431"/>
      <c r="G9" s="432"/>
      <c r="H9" s="6">
        <f>C9*G9</f>
        <v>0</v>
      </c>
      <c r="I9" s="6">
        <f>H9*12</f>
        <v>0</v>
      </c>
      <c r="J9" s="291">
        <f>'2)Compliance Info'!F34</f>
        <v>691.5</v>
      </c>
      <c r="K9" s="12">
        <f>F9*C9</f>
        <v>0</v>
      </c>
      <c r="L9" s="12"/>
      <c r="N9" s="429"/>
      <c r="O9" s="433">
        <v>0.6</v>
      </c>
      <c r="P9" s="429"/>
      <c r="Q9" s="431"/>
      <c r="R9" s="432"/>
      <c r="S9" s="6">
        <f>N9*R9</f>
        <v>0</v>
      </c>
      <c r="T9" s="6">
        <f>S9*12</f>
        <v>0</v>
      </c>
      <c r="U9" s="291">
        <f>'2)Compliance Info'!F37</f>
        <v>836.75</v>
      </c>
      <c r="V9">
        <f>Q9*N9</f>
        <v>0</v>
      </c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</row>
    <row r="10" spans="1:39">
      <c r="A10" s="226"/>
      <c r="B10" s="226"/>
      <c r="C10" s="434"/>
      <c r="D10" s="435" t="s">
        <v>325</v>
      </c>
      <c r="E10" s="434"/>
      <c r="F10" s="436"/>
      <c r="G10" s="437"/>
      <c r="H10" s="10">
        <f>C10*G10</f>
        <v>0</v>
      </c>
      <c r="I10" s="10">
        <f>H10*12</f>
        <v>0</v>
      </c>
      <c r="J10" s="292" t="s">
        <v>326</v>
      </c>
      <c r="K10" s="12">
        <f>F10*C10</f>
        <v>0</v>
      </c>
      <c r="L10" s="12"/>
      <c r="N10" s="434"/>
      <c r="O10" s="435" t="s">
        <v>325</v>
      </c>
      <c r="P10" s="434"/>
      <c r="Q10" s="434"/>
      <c r="R10" s="437"/>
      <c r="S10" s="10">
        <f>N10*R10</f>
        <v>0</v>
      </c>
      <c r="T10" s="10">
        <f>S10*12</f>
        <v>0</v>
      </c>
      <c r="U10" s="292" t="s">
        <v>326</v>
      </c>
      <c r="V10">
        <f>Q10*N10</f>
        <v>0</v>
      </c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</row>
    <row r="11" spans="1:39" s="226" customFormat="1">
      <c r="B11" s="226" t="s">
        <v>15</v>
      </c>
      <c r="C11" s="1">
        <f>SUM(C6:C10)</f>
        <v>0</v>
      </c>
      <c r="D11" s="1"/>
      <c r="E11" s="1"/>
      <c r="F11" s="1"/>
      <c r="G11"/>
      <c r="H11" s="6">
        <f>SUM(H6:H10)</f>
        <v>0</v>
      </c>
      <c r="I11" s="6">
        <f>SUM(I6:I10)</f>
        <v>0</v>
      </c>
      <c r="J11" s="46"/>
      <c r="K11" s="12"/>
      <c r="L11" s="12"/>
      <c r="M11" t="s">
        <v>15</v>
      </c>
      <c r="N11" s="1">
        <f>SUM(N6:N10)</f>
        <v>0</v>
      </c>
      <c r="O11" s="1"/>
      <c r="P11" s="1"/>
      <c r="Q11" s="1"/>
      <c r="R11"/>
      <c r="S11" s="6">
        <f>SUM(S6:S10)</f>
        <v>0</v>
      </c>
      <c r="T11" s="257">
        <f>SUM(T6:T10)</f>
        <v>0</v>
      </c>
      <c r="U11" s="293"/>
    </row>
    <row r="12" spans="1:39" s="226" customFormat="1">
      <c r="C12" s="1"/>
      <c r="D12" s="1"/>
      <c r="E12" s="1"/>
      <c r="F12" s="1"/>
      <c r="G12"/>
      <c r="H12"/>
      <c r="I12"/>
      <c r="J12"/>
      <c r="K12" s="12"/>
      <c r="L12" s="12"/>
      <c r="M12"/>
      <c r="N12" s="1"/>
      <c r="O12" s="1"/>
      <c r="P12" s="1"/>
      <c r="Q12" s="1"/>
      <c r="R12"/>
      <c r="S12"/>
      <c r="U12" s="294"/>
    </row>
    <row r="13" spans="1:39" s="226" customFormat="1" ht="26">
      <c r="B13" s="287" t="s">
        <v>327</v>
      </c>
      <c r="C13" s="1" t="s">
        <v>13</v>
      </c>
      <c r="D13" s="438" t="s">
        <v>322</v>
      </c>
      <c r="E13" s="1" t="s">
        <v>10</v>
      </c>
      <c r="F13" s="1" t="s">
        <v>11</v>
      </c>
      <c r="G13" s="1" t="s">
        <v>12</v>
      </c>
      <c r="H13" s="286" t="s">
        <v>14</v>
      </c>
      <c r="I13" s="286" t="s">
        <v>186</v>
      </c>
      <c r="J13" s="439" t="s">
        <v>354</v>
      </c>
      <c r="K13" s="438" t="s">
        <v>189</v>
      </c>
      <c r="L13" s="12"/>
      <c r="M13" s="440" t="s">
        <v>328</v>
      </c>
      <c r="N13" s="1" t="s">
        <v>13</v>
      </c>
      <c r="O13" s="438" t="s">
        <v>322</v>
      </c>
      <c r="P13" s="1" t="s">
        <v>10</v>
      </c>
      <c r="Q13" s="1" t="s">
        <v>11</v>
      </c>
      <c r="R13" s="1" t="s">
        <v>12</v>
      </c>
      <c r="S13" s="286" t="s">
        <v>14</v>
      </c>
      <c r="T13" s="289" t="s">
        <v>186</v>
      </c>
      <c r="U13" s="290" t="s">
        <v>354</v>
      </c>
      <c r="V13" s="289" t="s">
        <v>189</v>
      </c>
    </row>
    <row r="14" spans="1:39">
      <c r="A14" s="226"/>
      <c r="B14" s="226"/>
      <c r="C14" s="429"/>
      <c r="D14" s="430" t="s">
        <v>324</v>
      </c>
      <c r="E14" s="429"/>
      <c r="F14" s="431"/>
      <c r="G14" s="432"/>
      <c r="H14" s="6">
        <f>C14*G14</f>
        <v>0</v>
      </c>
      <c r="I14" s="6">
        <f>H14*12</f>
        <v>0</v>
      </c>
      <c r="J14" s="291">
        <f>'2)Compliance Info'!C35</f>
        <v>280.5</v>
      </c>
      <c r="K14" s="12">
        <f>F14*C14</f>
        <v>0</v>
      </c>
      <c r="L14" s="12"/>
      <c r="N14" s="429"/>
      <c r="O14" s="430" t="s">
        <v>324</v>
      </c>
      <c r="P14" s="429"/>
      <c r="Q14" s="431"/>
      <c r="R14" s="432"/>
      <c r="S14" s="6">
        <f>N14*R14</f>
        <v>0</v>
      </c>
      <c r="T14" s="6">
        <f>S14*12</f>
        <v>0</v>
      </c>
      <c r="U14" s="291">
        <f>'2)Compliance Info'!C38</f>
        <v>343</v>
      </c>
      <c r="V14">
        <f>Q14*N14</f>
        <v>0</v>
      </c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</row>
    <row r="15" spans="1:39">
      <c r="A15" s="226"/>
      <c r="B15" s="226"/>
      <c r="C15" s="429"/>
      <c r="D15" s="433">
        <v>0.4</v>
      </c>
      <c r="E15" s="429"/>
      <c r="F15" s="431"/>
      <c r="G15" s="432"/>
      <c r="H15" s="6">
        <f>C15*G15</f>
        <v>0</v>
      </c>
      <c r="I15" s="6">
        <f>H15*12</f>
        <v>0</v>
      </c>
      <c r="J15" s="291">
        <f>'2)Compliance Info'!D35</f>
        <v>404</v>
      </c>
      <c r="K15" s="12">
        <f>F15*C15</f>
        <v>0</v>
      </c>
      <c r="L15" s="12"/>
      <c r="N15" s="429"/>
      <c r="O15" s="433">
        <v>0.4</v>
      </c>
      <c r="P15" s="429"/>
      <c r="Q15" s="431"/>
      <c r="R15" s="432"/>
      <c r="S15" s="6">
        <f>N15*R15</f>
        <v>0</v>
      </c>
      <c r="T15" s="6">
        <f>S15*12</f>
        <v>0</v>
      </c>
      <c r="U15" s="291">
        <f>'2)Compliance Info'!D38</f>
        <v>534</v>
      </c>
      <c r="V15">
        <f>Q15*N15</f>
        <v>0</v>
      </c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</row>
    <row r="16" spans="1:39">
      <c r="A16" s="226"/>
      <c r="B16" s="226"/>
      <c r="C16" s="429"/>
      <c r="D16" s="433">
        <v>0.5</v>
      </c>
      <c r="E16" s="429"/>
      <c r="F16" s="431"/>
      <c r="G16" s="432"/>
      <c r="H16" s="6">
        <f>C16*G16</f>
        <v>0</v>
      </c>
      <c r="I16" s="6">
        <f>H16*12</f>
        <v>0</v>
      </c>
      <c r="J16" s="291">
        <f>'2)Compliance Info'!E35</f>
        <v>527.5</v>
      </c>
      <c r="K16" s="12">
        <f>F16*C16</f>
        <v>0</v>
      </c>
      <c r="L16" s="12"/>
      <c r="N16" s="429"/>
      <c r="O16" s="433">
        <v>0.5</v>
      </c>
      <c r="P16" s="429"/>
      <c r="Q16" s="431"/>
      <c r="R16" s="432"/>
      <c r="S16" s="6">
        <f>N16*R16</f>
        <v>0</v>
      </c>
      <c r="T16" s="6">
        <f>S16*12</f>
        <v>0</v>
      </c>
      <c r="U16" s="291">
        <f>'2)Compliance Info'!E38</f>
        <v>725</v>
      </c>
      <c r="V16">
        <f>Q16*N16</f>
        <v>0</v>
      </c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</row>
    <row r="17" spans="1:46">
      <c r="A17" s="226"/>
      <c r="B17" s="226"/>
      <c r="C17" s="429"/>
      <c r="D17" s="433">
        <v>0.6</v>
      </c>
      <c r="E17" s="429"/>
      <c r="F17" s="431"/>
      <c r="G17" s="432"/>
      <c r="H17" s="6">
        <f>C17*G17</f>
        <v>0</v>
      </c>
      <c r="I17" s="6">
        <f>H17*12</f>
        <v>0</v>
      </c>
      <c r="J17" s="291">
        <f>'2)Compliance Info'!F35</f>
        <v>651</v>
      </c>
      <c r="K17" s="12">
        <f>F17*C17</f>
        <v>0</v>
      </c>
      <c r="L17" s="12"/>
      <c r="N17" s="429"/>
      <c r="O17" s="433">
        <v>0.6</v>
      </c>
      <c r="P17" s="429"/>
      <c r="Q17" s="431"/>
      <c r="R17" s="432"/>
      <c r="S17" s="6">
        <f>N17*R17</f>
        <v>0</v>
      </c>
      <c r="T17" s="6">
        <f>S17*12</f>
        <v>0</v>
      </c>
      <c r="U17" s="291">
        <f>'2)Compliance Info'!F38</f>
        <v>916</v>
      </c>
      <c r="V17">
        <f>Q17*N17</f>
        <v>0</v>
      </c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</row>
    <row r="18" spans="1:46">
      <c r="A18" s="226"/>
      <c r="B18" s="226"/>
      <c r="C18" s="434"/>
      <c r="D18" s="435" t="s">
        <v>325</v>
      </c>
      <c r="E18" s="434"/>
      <c r="F18" s="436"/>
      <c r="G18" s="437"/>
      <c r="H18" s="10">
        <f>C18*G18</f>
        <v>0</v>
      </c>
      <c r="I18" s="10">
        <f>H18*12</f>
        <v>0</v>
      </c>
      <c r="J18" s="292" t="s">
        <v>326</v>
      </c>
      <c r="K18" s="12">
        <f>F18*C18</f>
        <v>0</v>
      </c>
      <c r="L18" s="12"/>
      <c r="N18" s="434"/>
      <c r="O18" s="435" t="s">
        <v>325</v>
      </c>
      <c r="P18" s="434"/>
      <c r="Q18" s="436"/>
      <c r="R18" s="437"/>
      <c r="S18" s="10">
        <f>N18*R18</f>
        <v>0</v>
      </c>
      <c r="T18" s="10">
        <f>S18*12</f>
        <v>0</v>
      </c>
      <c r="U18" s="295" t="s">
        <v>326</v>
      </c>
      <c r="V18">
        <f>Q18*N18</f>
        <v>0</v>
      </c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</row>
    <row r="19" spans="1:46" s="226" customFormat="1">
      <c r="B19" s="226" t="s">
        <v>15</v>
      </c>
      <c r="C19" s="1">
        <f>SUM(C14:C18)</f>
        <v>0</v>
      </c>
      <c r="D19" s="1"/>
      <c r="E19" s="1"/>
      <c r="F19" s="1"/>
      <c r="G19"/>
      <c r="H19" s="6">
        <f>SUM(H14:H18)</f>
        <v>0</v>
      </c>
      <c r="I19" s="6">
        <f>SUM(I14:I18)</f>
        <v>0</v>
      </c>
      <c r="J19" s="441"/>
      <c r="K19" s="12"/>
      <c r="L19" s="12"/>
      <c r="M19" t="s">
        <v>15</v>
      </c>
      <c r="N19" s="1">
        <f>SUM(N14:N18)</f>
        <v>0</v>
      </c>
      <c r="O19" s="1"/>
      <c r="P19" s="1"/>
      <c r="Q19" s="1"/>
      <c r="R19"/>
      <c r="S19" s="6">
        <f>SUM(S14:S18)</f>
        <v>0</v>
      </c>
      <c r="T19" s="257">
        <f>SUM(T14:T18)</f>
        <v>0</v>
      </c>
      <c r="U19" s="296"/>
    </row>
    <row r="20" spans="1:46" s="226" customFormat="1">
      <c r="C20" s="1"/>
      <c r="D20" s="1"/>
      <c r="E20" s="1"/>
      <c r="F20" s="1"/>
      <c r="G20"/>
      <c r="H20"/>
      <c r="I20"/>
      <c r="J20" s="442"/>
      <c r="K20" s="12"/>
      <c r="L20" s="12"/>
      <c r="M20"/>
      <c r="N20" s="1"/>
      <c r="O20" s="1"/>
      <c r="P20" s="1"/>
      <c r="Q20" s="1"/>
      <c r="R20"/>
      <c r="S20"/>
    </row>
    <row r="21" spans="1:46" s="226" customFormat="1" ht="26">
      <c r="B21" s="287" t="s">
        <v>329</v>
      </c>
      <c r="C21" s="1" t="s">
        <v>13</v>
      </c>
      <c r="D21" s="438" t="s">
        <v>322</v>
      </c>
      <c r="E21" s="1" t="s">
        <v>10</v>
      </c>
      <c r="F21" s="1" t="s">
        <v>11</v>
      </c>
      <c r="G21" s="1" t="s">
        <v>12</v>
      </c>
      <c r="H21" s="286" t="s">
        <v>14</v>
      </c>
      <c r="I21" s="286" t="s">
        <v>186</v>
      </c>
      <c r="J21" s="439" t="s">
        <v>354</v>
      </c>
      <c r="K21" s="438" t="s">
        <v>189</v>
      </c>
      <c r="L21" s="12"/>
      <c r="M21"/>
      <c r="N21" s="13" t="s">
        <v>18</v>
      </c>
      <c r="O21" s="1"/>
      <c r="P21" s="1"/>
      <c r="Q21" s="1"/>
      <c r="R21"/>
      <c r="S21" s="286" t="s">
        <v>14</v>
      </c>
      <c r="T21" s="289" t="s">
        <v>186</v>
      </c>
      <c r="U21" s="259"/>
    </row>
    <row r="22" spans="1:46" ht="13">
      <c r="A22" s="226"/>
      <c r="B22" s="226"/>
      <c r="C22" s="429"/>
      <c r="D22" s="430" t="s">
        <v>324</v>
      </c>
      <c r="E22" s="429"/>
      <c r="F22" s="431"/>
      <c r="G22" s="432"/>
      <c r="H22" s="6">
        <f>C22*G22</f>
        <v>0</v>
      </c>
      <c r="I22" s="6">
        <f>H22*12</f>
        <v>0</v>
      </c>
      <c r="J22" s="291">
        <f>'2)Compliance Info'!C36</f>
        <v>289.75</v>
      </c>
      <c r="K22" s="12">
        <f>F22*C22</f>
        <v>0</v>
      </c>
      <c r="L22" s="12"/>
      <c r="M22" s="4" t="s">
        <v>16</v>
      </c>
      <c r="N22" s="1">
        <f>C11+C19+C27+N11+N19</f>
        <v>0</v>
      </c>
      <c r="O22" s="1"/>
      <c r="P22" s="1"/>
      <c r="Q22" s="1"/>
      <c r="R22" s="5" t="s">
        <v>27</v>
      </c>
      <c r="S22" s="443">
        <f>H11+H19+H27+S11+S19</f>
        <v>0</v>
      </c>
      <c r="T22" s="277">
        <f>I11+I19+I27+T11+T19</f>
        <v>0</v>
      </c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</row>
    <row r="23" spans="1:46">
      <c r="A23" s="226"/>
      <c r="B23" s="226"/>
      <c r="C23" s="429"/>
      <c r="D23" s="433">
        <v>0.4</v>
      </c>
      <c r="E23" s="429"/>
      <c r="F23" s="431"/>
      <c r="G23" s="432"/>
      <c r="H23" s="6">
        <f>C23*G23</f>
        <v>0</v>
      </c>
      <c r="I23" s="6">
        <f>H23*12</f>
        <v>0</v>
      </c>
      <c r="J23" s="291">
        <f>'2)Compliance Info'!D36</f>
        <v>438</v>
      </c>
      <c r="K23" s="12">
        <f>F23*C23</f>
        <v>0</v>
      </c>
      <c r="L23" s="12"/>
      <c r="N23" s="1"/>
      <c r="O23" s="1"/>
      <c r="P23" s="1"/>
      <c r="Q23" s="1"/>
      <c r="R23" s="3" t="s">
        <v>17</v>
      </c>
      <c r="S23" s="444" t="e">
        <f>S22/Units</f>
        <v>#DIV/0!</v>
      </c>
      <c r="T23" s="310" t="e">
        <f>T22/Units</f>
        <v>#DIV/0!</v>
      </c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</row>
    <row r="24" spans="1:46">
      <c r="A24" s="226"/>
      <c r="B24" s="226"/>
      <c r="C24" s="429">
        <v>0</v>
      </c>
      <c r="D24" s="433">
        <v>0.5</v>
      </c>
      <c r="E24" s="429"/>
      <c r="F24" s="431"/>
      <c r="G24" s="432"/>
      <c r="H24" s="6">
        <f>C24*G24</f>
        <v>0</v>
      </c>
      <c r="I24" s="6">
        <f>H24*12</f>
        <v>0</v>
      </c>
      <c r="J24" s="291">
        <f>'2)Compliance Info'!E36</f>
        <v>586.25</v>
      </c>
      <c r="K24" s="12">
        <f>F24*C24</f>
        <v>0</v>
      </c>
      <c r="L24" s="12"/>
      <c r="N24" s="1"/>
      <c r="O24" s="1"/>
      <c r="P24" s="1"/>
      <c r="Q24" s="1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</row>
    <row r="25" spans="1:46" ht="13">
      <c r="A25" s="226"/>
      <c r="B25" s="226"/>
      <c r="C25" s="429">
        <v>0</v>
      </c>
      <c r="D25" s="433">
        <v>0.6</v>
      </c>
      <c r="E25" s="429"/>
      <c r="F25" s="431"/>
      <c r="G25" s="432"/>
      <c r="H25" s="6">
        <f>C25*G25</f>
        <v>0</v>
      </c>
      <c r="I25" s="6">
        <f>H25*12</f>
        <v>0</v>
      </c>
      <c r="J25" s="291">
        <f>'2)Compliance Info'!F36</f>
        <v>734.5</v>
      </c>
      <c r="K25" s="12">
        <f>F25*C25</f>
        <v>0</v>
      </c>
      <c r="L25" s="12"/>
      <c r="M25" s="4" t="s">
        <v>20</v>
      </c>
      <c r="N25" s="1"/>
      <c r="O25" s="1"/>
      <c r="P25" s="1"/>
      <c r="Q25" s="1"/>
      <c r="S25" s="1" t="s">
        <v>25</v>
      </c>
      <c r="T25" s="1" t="s">
        <v>26</v>
      </c>
      <c r="U25" s="257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</row>
    <row r="26" spans="1:46">
      <c r="A26" s="226"/>
      <c r="B26" s="226"/>
      <c r="C26" s="434"/>
      <c r="D26" s="435" t="s">
        <v>325</v>
      </c>
      <c r="E26" s="434"/>
      <c r="F26" s="436"/>
      <c r="G26" s="437"/>
      <c r="H26" s="10">
        <f>C26*G26</f>
        <v>0</v>
      </c>
      <c r="I26" s="10">
        <f>H26*12</f>
        <v>0</v>
      </c>
      <c r="J26" s="292" t="s">
        <v>326</v>
      </c>
      <c r="K26" s="12">
        <f>F26*C26</f>
        <v>0</v>
      </c>
      <c r="L26" s="12"/>
      <c r="M26" t="s">
        <v>21</v>
      </c>
      <c r="N26" s="1"/>
      <c r="O26" s="1"/>
      <c r="P26" s="1"/>
      <c r="Q26" s="1"/>
      <c r="S26" s="6">
        <v>0</v>
      </c>
      <c r="T26" s="6">
        <f>S26*12</f>
        <v>0</v>
      </c>
      <c r="U26" s="257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</row>
    <row r="27" spans="1:46">
      <c r="A27" s="226"/>
      <c r="B27" s="226" t="s">
        <v>15</v>
      </c>
      <c r="C27" s="1">
        <f>SUM(C22:C26)</f>
        <v>0</v>
      </c>
      <c r="H27" s="6">
        <f>SUM(H22:H26)</f>
        <v>0</v>
      </c>
      <c r="I27" s="6">
        <f>SUM(I22:I26)</f>
        <v>0</v>
      </c>
      <c r="J27" s="46"/>
      <c r="K27" s="6"/>
      <c r="L27" s="12"/>
      <c r="M27" t="s">
        <v>22</v>
      </c>
      <c r="N27" s="1"/>
      <c r="O27" s="1"/>
      <c r="P27" s="1"/>
      <c r="Q27" s="1"/>
      <c r="S27" s="6">
        <v>0</v>
      </c>
      <c r="T27" s="6">
        <f>S27*12</f>
        <v>0</v>
      </c>
      <c r="U27" s="257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</row>
    <row r="28" spans="1:46">
      <c r="A28" s="226"/>
      <c r="B28" s="226"/>
      <c r="L28" s="12"/>
      <c r="M28" t="s">
        <v>23</v>
      </c>
      <c r="N28" s="1"/>
      <c r="O28" s="1"/>
      <c r="P28" s="433"/>
      <c r="Q28" s="444"/>
      <c r="S28" s="6">
        <v>0</v>
      </c>
      <c r="T28" s="6">
        <f>S28*12</f>
        <v>0</v>
      </c>
      <c r="U28" s="257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</row>
    <row r="29" spans="1:46">
      <c r="A29" s="226"/>
      <c r="B29" s="226" t="s">
        <v>344</v>
      </c>
      <c r="L29" s="12"/>
      <c r="M29" t="s">
        <v>24</v>
      </c>
      <c r="N29" s="1"/>
      <c r="O29" s="1"/>
      <c r="P29" s="1"/>
      <c r="Q29" s="1"/>
      <c r="S29" s="6"/>
      <c r="T29" s="6">
        <f>S29*12</f>
        <v>0</v>
      </c>
      <c r="U29" s="257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</row>
    <row r="30" spans="1:46">
      <c r="B30" s="346" t="s">
        <v>190</v>
      </c>
      <c r="E30" s="445"/>
      <c r="L30" s="12"/>
      <c r="M30" s="8" t="s">
        <v>19</v>
      </c>
      <c r="N30" s="434"/>
      <c r="O30" s="434"/>
      <c r="P30" s="434"/>
      <c r="Q30" s="434"/>
      <c r="R30" s="8"/>
      <c r="S30" s="10">
        <v>0</v>
      </c>
      <c r="T30" s="10">
        <f>S30*12</f>
        <v>0</v>
      </c>
      <c r="U30" s="257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</row>
    <row r="31" spans="1:46" ht="13">
      <c r="A31" s="226"/>
      <c r="B31" s="347"/>
      <c r="C31" s="348"/>
      <c r="D31" s="349" t="s">
        <v>345</v>
      </c>
      <c r="E31" s="350">
        <f>E29+E30</f>
        <v>0</v>
      </c>
      <c r="F31" s="246"/>
      <c r="G31" s="226"/>
      <c r="H31" s="226"/>
      <c r="I31" s="226"/>
      <c r="J31" s="226"/>
      <c r="K31" s="226"/>
      <c r="L31" s="229"/>
      <c r="M31" s="256" t="s">
        <v>16</v>
      </c>
      <c r="N31" s="246"/>
      <c r="O31" s="246"/>
      <c r="P31" s="246"/>
      <c r="Q31" s="246"/>
      <c r="R31" s="226"/>
      <c r="S31" s="257">
        <f>SUM(S26:S30)</f>
        <v>0</v>
      </c>
      <c r="T31" s="257">
        <f>SUM(T26:T30)</f>
        <v>0</v>
      </c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</row>
    <row r="32" spans="1:46">
      <c r="A32" s="226"/>
      <c r="B32" s="226"/>
      <c r="C32" s="246"/>
      <c r="D32" s="246"/>
      <c r="E32" s="246"/>
      <c r="F32" s="246"/>
      <c r="G32" s="226"/>
      <c r="H32" s="226"/>
      <c r="I32" s="226"/>
      <c r="J32" s="226"/>
      <c r="K32" s="226"/>
      <c r="L32" s="297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</row>
    <row r="33" spans="1:46" ht="13">
      <c r="A33" s="226"/>
      <c r="B33" s="226"/>
      <c r="C33" s="246"/>
      <c r="D33" s="246"/>
      <c r="E33" s="246"/>
      <c r="F33" s="246"/>
      <c r="G33" s="226"/>
      <c r="H33" s="226"/>
      <c r="I33" s="226"/>
      <c r="J33" s="226"/>
      <c r="K33" s="226"/>
      <c r="L33" s="297"/>
      <c r="M33" s="226"/>
      <c r="N33" s="226"/>
      <c r="O33" s="226"/>
      <c r="P33" s="226"/>
      <c r="Q33" s="226"/>
      <c r="R33" s="226"/>
      <c r="S33" s="246"/>
      <c r="T33" s="246"/>
      <c r="U33" s="259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</row>
    <row r="34" spans="1:46" ht="13">
      <c r="A34" s="226"/>
      <c r="B34" s="226"/>
      <c r="C34" s="246"/>
      <c r="D34" s="246"/>
      <c r="E34" s="246"/>
      <c r="F34" s="246"/>
      <c r="G34" s="226"/>
      <c r="H34" s="226"/>
      <c r="I34" s="226"/>
      <c r="J34" s="226"/>
      <c r="K34" s="226"/>
      <c r="L34" s="297"/>
      <c r="M34" s="226"/>
      <c r="N34" s="226"/>
      <c r="O34" s="226"/>
      <c r="P34" s="226"/>
      <c r="Q34" s="226"/>
      <c r="R34" s="227"/>
      <c r="S34" s="257"/>
      <c r="T34" s="257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</row>
    <row r="35" spans="1:46">
      <c r="A35" s="226"/>
      <c r="B35" s="226"/>
      <c r="C35" s="246"/>
      <c r="D35" s="246"/>
      <c r="E35" s="246"/>
      <c r="F35" s="246"/>
      <c r="G35" s="226"/>
      <c r="H35" s="226"/>
      <c r="I35" s="226"/>
      <c r="J35" s="226"/>
      <c r="K35" s="226"/>
      <c r="L35" s="297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</row>
    <row r="36" spans="1:46">
      <c r="A36" s="226"/>
      <c r="B36" s="226"/>
      <c r="C36" s="246"/>
      <c r="D36" s="246"/>
      <c r="E36" s="246"/>
      <c r="F36" s="246"/>
      <c r="G36" s="226"/>
      <c r="H36" s="226"/>
      <c r="I36" s="226"/>
      <c r="J36" s="226"/>
      <c r="K36" s="226"/>
      <c r="L36" s="297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</row>
    <row r="37" spans="1:46">
      <c r="A37" s="226"/>
      <c r="B37" s="226"/>
      <c r="C37" s="246"/>
      <c r="D37" s="246"/>
      <c r="E37" s="246"/>
      <c r="F37" s="246"/>
      <c r="G37" s="226"/>
      <c r="H37" s="226"/>
      <c r="I37" s="226"/>
      <c r="J37" s="226"/>
      <c r="K37" s="226"/>
      <c r="L37" s="297"/>
      <c r="M37" s="226"/>
      <c r="N37" s="226"/>
      <c r="O37" s="226"/>
      <c r="P37" s="226"/>
      <c r="Q37" s="226"/>
      <c r="R37" s="226"/>
      <c r="S37" s="226"/>
      <c r="T37" s="226"/>
      <c r="U37" s="257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</row>
    <row r="38" spans="1:46">
      <c r="A38" s="226"/>
      <c r="B38" s="226"/>
      <c r="C38" s="246"/>
      <c r="D38" s="246"/>
      <c r="E38" s="246"/>
      <c r="F38" s="246"/>
      <c r="G38" s="226"/>
      <c r="H38" s="226"/>
      <c r="I38" s="226"/>
      <c r="J38" s="226"/>
      <c r="K38" s="226"/>
      <c r="L38" s="297"/>
      <c r="M38" s="226"/>
      <c r="N38" s="226"/>
      <c r="O38" s="226"/>
      <c r="P38" s="226"/>
      <c r="Q38" s="226"/>
      <c r="R38" s="226"/>
      <c r="S38" s="226"/>
      <c r="T38" s="226"/>
      <c r="U38" s="257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</row>
    <row r="39" spans="1:46">
      <c r="A39" s="226"/>
      <c r="B39" s="226"/>
      <c r="C39" s="310"/>
      <c r="D39" s="246"/>
      <c r="E39" s="246"/>
      <c r="F39" s="246"/>
      <c r="G39" s="226"/>
      <c r="H39" s="226"/>
      <c r="I39" s="226"/>
      <c r="J39" s="226"/>
      <c r="K39" s="226"/>
      <c r="L39" s="297"/>
      <c r="M39" s="226"/>
      <c r="N39" s="226"/>
      <c r="O39" s="226"/>
      <c r="P39" s="226"/>
      <c r="Q39" s="226"/>
      <c r="R39" s="226"/>
      <c r="S39" s="226"/>
      <c r="T39" s="226"/>
      <c r="U39" s="257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</row>
    <row r="40" spans="1:46">
      <c r="A40" s="226"/>
      <c r="B40" s="226"/>
      <c r="C40" s="246"/>
      <c r="D40" s="246"/>
      <c r="E40" s="246"/>
      <c r="F40" s="246"/>
      <c r="G40" s="226"/>
      <c r="H40" s="226"/>
      <c r="I40" s="226"/>
      <c r="J40" s="226"/>
      <c r="K40" s="226"/>
      <c r="L40" s="297"/>
      <c r="M40" s="226"/>
      <c r="N40" s="226"/>
      <c r="O40" s="226"/>
      <c r="P40" s="226"/>
      <c r="Q40" s="226"/>
      <c r="R40" s="226"/>
      <c r="S40" s="226"/>
      <c r="T40" s="226"/>
      <c r="U40" s="257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</row>
    <row r="41" spans="1:46">
      <c r="A41" s="226"/>
      <c r="B41" s="226"/>
      <c r="C41" s="246"/>
      <c r="D41" s="246"/>
      <c r="E41" s="246"/>
      <c r="F41" s="246"/>
      <c r="G41" s="226"/>
      <c r="H41" s="226"/>
      <c r="I41" s="226"/>
      <c r="J41" s="226"/>
      <c r="K41" s="226"/>
      <c r="L41" s="297"/>
      <c r="M41" s="226"/>
      <c r="N41" s="226"/>
      <c r="O41" s="226"/>
      <c r="P41" s="226"/>
      <c r="Q41" s="226"/>
      <c r="R41" s="226"/>
      <c r="S41" s="226"/>
      <c r="T41" s="226"/>
      <c r="U41" s="257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</row>
    <row r="42" spans="1:46">
      <c r="A42" s="226"/>
      <c r="B42" s="226"/>
      <c r="C42" s="246"/>
      <c r="D42" s="246"/>
      <c r="E42" s="246"/>
      <c r="F42" s="246"/>
      <c r="G42" s="226"/>
      <c r="H42" s="226"/>
      <c r="I42" s="226"/>
      <c r="J42" s="226"/>
      <c r="K42" s="226"/>
      <c r="L42" s="297"/>
      <c r="M42" s="226"/>
      <c r="N42" s="226"/>
      <c r="O42" s="226"/>
      <c r="P42" s="226"/>
      <c r="Q42" s="226"/>
      <c r="R42" s="226"/>
      <c r="S42" s="226"/>
      <c r="T42" s="226"/>
      <c r="U42" s="257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</row>
    <row r="43" spans="1:46">
      <c r="A43" s="226"/>
      <c r="B43" s="226"/>
      <c r="C43" s="246"/>
      <c r="D43" s="246"/>
      <c r="E43" s="246"/>
      <c r="F43" s="246"/>
      <c r="G43" s="226"/>
      <c r="H43" s="226"/>
      <c r="I43" s="226"/>
      <c r="J43" s="226"/>
      <c r="K43" s="226"/>
      <c r="L43" s="297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</row>
    <row r="44" spans="1:46">
      <c r="A44" s="226"/>
      <c r="B44" s="226"/>
      <c r="C44" s="246"/>
      <c r="D44" s="246"/>
      <c r="E44" s="246"/>
      <c r="F44" s="246"/>
      <c r="G44" s="226"/>
      <c r="H44" s="226"/>
      <c r="I44" s="226"/>
      <c r="J44" s="226"/>
      <c r="K44" s="226"/>
      <c r="L44" s="297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</row>
    <row r="45" spans="1:46">
      <c r="A45" s="226"/>
      <c r="B45" s="226"/>
      <c r="C45" s="246"/>
      <c r="D45" s="246"/>
      <c r="E45" s="246"/>
      <c r="F45" s="246"/>
      <c r="G45" s="226"/>
      <c r="H45" s="226"/>
      <c r="I45" s="226"/>
      <c r="J45" s="226"/>
      <c r="K45" s="226"/>
      <c r="L45" s="297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</row>
    <row r="46" spans="1:46">
      <c r="A46" s="226"/>
      <c r="B46" s="226"/>
      <c r="C46" s="246"/>
      <c r="D46" s="246"/>
      <c r="E46" s="246"/>
      <c r="F46" s="246"/>
      <c r="G46" s="226"/>
      <c r="H46" s="226"/>
      <c r="I46" s="226"/>
      <c r="J46" s="226"/>
      <c r="K46" s="226"/>
      <c r="L46" s="297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</row>
    <row r="47" spans="1:46">
      <c r="A47" s="226"/>
      <c r="B47" s="226"/>
      <c r="C47" s="246"/>
      <c r="D47" s="246"/>
      <c r="E47" s="246"/>
      <c r="F47" s="246"/>
      <c r="G47" s="226"/>
      <c r="H47" s="226"/>
      <c r="I47" s="226"/>
      <c r="J47" s="226"/>
      <c r="K47" s="226"/>
      <c r="L47" s="297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</row>
    <row r="48" spans="1:46">
      <c r="A48" s="226"/>
      <c r="B48" s="226"/>
      <c r="C48" s="246"/>
      <c r="D48" s="246"/>
      <c r="E48" s="246"/>
      <c r="F48" s="246"/>
      <c r="G48" s="226"/>
      <c r="H48" s="226"/>
      <c r="I48" s="226"/>
      <c r="J48" s="226"/>
      <c r="K48" s="226"/>
      <c r="L48" s="297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</row>
    <row r="49" spans="1:46">
      <c r="A49" s="226"/>
      <c r="B49" s="226"/>
      <c r="C49" s="246"/>
      <c r="D49" s="246"/>
      <c r="E49" s="246"/>
      <c r="F49" s="246"/>
      <c r="G49" s="226"/>
      <c r="H49" s="226"/>
      <c r="I49" s="226"/>
      <c r="J49" s="226"/>
      <c r="K49" s="226"/>
      <c r="L49" s="297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</row>
    <row r="50" spans="1:46">
      <c r="A50" s="226"/>
      <c r="B50" s="226"/>
      <c r="C50" s="246"/>
      <c r="D50" s="246"/>
      <c r="E50" s="246"/>
      <c r="F50" s="246"/>
      <c r="G50" s="226"/>
      <c r="H50" s="226"/>
      <c r="I50" s="226"/>
      <c r="J50" s="226"/>
      <c r="K50" s="226"/>
      <c r="L50" s="297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</row>
    <row r="51" spans="1:46">
      <c r="A51" s="226"/>
      <c r="B51" s="226"/>
      <c r="C51" s="246"/>
      <c r="D51" s="246"/>
      <c r="E51" s="246"/>
      <c r="F51" s="246"/>
      <c r="G51" s="226"/>
      <c r="H51" s="226"/>
      <c r="I51" s="226"/>
      <c r="J51" s="226"/>
      <c r="K51" s="226"/>
      <c r="L51" s="297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</row>
    <row r="52" spans="1:46">
      <c r="A52" s="226"/>
      <c r="B52" s="226"/>
      <c r="C52" s="246"/>
      <c r="D52" s="246"/>
      <c r="E52" s="246"/>
      <c r="F52" s="246"/>
      <c r="G52" s="226"/>
      <c r="H52" s="226"/>
      <c r="I52" s="226"/>
      <c r="J52" s="226"/>
      <c r="K52" s="226"/>
      <c r="L52" s="297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</row>
    <row r="53" spans="1:46">
      <c r="A53" s="226"/>
      <c r="B53" s="226"/>
      <c r="C53" s="246"/>
      <c r="D53" s="246"/>
      <c r="E53" s="246"/>
      <c r="F53" s="246"/>
      <c r="G53" s="226"/>
      <c r="H53" s="226"/>
      <c r="I53" s="226"/>
      <c r="J53" s="226"/>
      <c r="K53" s="226"/>
      <c r="L53" s="297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</row>
    <row r="54" spans="1:46">
      <c r="A54" s="226"/>
      <c r="B54" s="226"/>
      <c r="C54" s="246"/>
      <c r="D54" s="246"/>
      <c r="E54" s="246"/>
      <c r="F54" s="246"/>
      <c r="G54" s="226"/>
      <c r="H54" s="226"/>
      <c r="I54" s="226"/>
      <c r="J54" s="226"/>
      <c r="K54" s="226"/>
      <c r="L54" s="297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</row>
    <row r="55" spans="1:46">
      <c r="A55" s="226"/>
      <c r="B55" s="226"/>
      <c r="C55" s="246"/>
      <c r="D55" s="246"/>
      <c r="E55" s="246"/>
      <c r="F55" s="246"/>
      <c r="G55" s="226"/>
      <c r="H55" s="226"/>
      <c r="I55" s="226"/>
      <c r="J55" s="226"/>
      <c r="K55" s="226"/>
      <c r="L55" s="297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</row>
    <row r="56" spans="1:46">
      <c r="A56" s="226"/>
      <c r="B56" s="226"/>
      <c r="C56" s="246"/>
      <c r="D56" s="246"/>
      <c r="E56" s="246"/>
      <c r="F56" s="246"/>
      <c r="G56" s="226"/>
      <c r="H56" s="226"/>
      <c r="I56" s="226"/>
      <c r="J56" s="226"/>
      <c r="K56" s="226"/>
      <c r="L56" s="297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</row>
    <row r="57" spans="1:46">
      <c r="A57" s="226"/>
      <c r="B57" s="226"/>
      <c r="C57" s="246"/>
      <c r="D57" s="246"/>
      <c r="E57" s="246"/>
      <c r="F57" s="246"/>
      <c r="G57" s="226"/>
      <c r="H57" s="226"/>
      <c r="I57" s="226"/>
      <c r="J57" s="226"/>
      <c r="K57" s="226"/>
      <c r="L57" s="297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</row>
    <row r="58" spans="1:46">
      <c r="B58" s="226"/>
      <c r="C58" s="246"/>
      <c r="D58" s="246"/>
      <c r="E58" s="246"/>
    </row>
  </sheetData>
  <mergeCells count="5">
    <mergeCell ref="B3:D3"/>
    <mergeCell ref="E3:H3"/>
    <mergeCell ref="I3:K3"/>
    <mergeCell ref="L3:U3"/>
    <mergeCell ref="B1:T1"/>
  </mergeCells>
  <phoneticPr fontId="0" type="noConversion"/>
  <printOptions horizontalCentered="1"/>
  <pageMargins left="0.75" right="0.75" top="1" bottom="1" header="0.5" footer="0.5"/>
  <pageSetup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A43"/>
  <sheetViews>
    <sheetView zoomScale="104" zoomScaleNormal="104" workbookViewId="0">
      <selection activeCell="Z29" sqref="Z29"/>
    </sheetView>
  </sheetViews>
  <sheetFormatPr defaultRowHeight="12.5"/>
  <cols>
    <col min="1" max="1" width="4" bestFit="1" customWidth="1"/>
    <col min="2" max="2" width="24.26953125" customWidth="1"/>
    <col min="3" max="3" width="6.7265625" bestFit="1" customWidth="1"/>
    <col min="4" max="4" width="10" bestFit="1" customWidth="1"/>
    <col min="5" max="6" width="9.453125" bestFit="1" customWidth="1"/>
    <col min="7" max="7" width="4" bestFit="1" customWidth="1"/>
    <col min="8" max="8" width="24.26953125" customWidth="1"/>
    <col min="9" max="9" width="4.7265625" customWidth="1"/>
    <col min="10" max="10" width="11.81640625" customWidth="1"/>
    <col min="11" max="12" width="9.453125" bestFit="1" customWidth="1"/>
    <col min="21" max="21" width="2.7265625" customWidth="1"/>
    <col min="22" max="22" width="8.81640625" hidden="1" customWidth="1"/>
    <col min="23" max="23" width="20.26953125" customWidth="1"/>
    <col min="24" max="24" width="13.54296875" customWidth="1"/>
    <col min="25" max="25" width="13.453125" customWidth="1"/>
    <col min="26" max="26" width="22.7265625" customWidth="1"/>
    <col min="27" max="27" width="25.81640625" customWidth="1"/>
  </cols>
  <sheetData>
    <row r="1" spans="2:27" ht="16" thickBot="1">
      <c r="B1" s="500" t="s">
        <v>155</v>
      </c>
      <c r="C1" s="501"/>
      <c r="D1" s="501"/>
      <c r="E1" s="501"/>
      <c r="F1" s="501"/>
      <c r="G1" s="501"/>
      <c r="H1" s="501"/>
      <c r="I1" s="502"/>
      <c r="J1" s="502"/>
      <c r="K1" s="502"/>
      <c r="L1" s="503"/>
    </row>
    <row r="2" spans="2:27" hidden="1"/>
    <row r="3" spans="2:27" ht="13" thickBot="1"/>
    <row r="4" spans="2:27" ht="13.5" thickBot="1">
      <c r="B4" s="14" t="s">
        <v>58</v>
      </c>
      <c r="D4" s="314" t="s">
        <v>52</v>
      </c>
      <c r="E4" s="314" t="s">
        <v>53</v>
      </c>
      <c r="F4" s="315" t="s">
        <v>338</v>
      </c>
      <c r="H4" s="4" t="s">
        <v>41</v>
      </c>
      <c r="J4" s="314" t="s">
        <v>52</v>
      </c>
      <c r="K4" s="314" t="s">
        <v>53</v>
      </c>
      <c r="L4" s="315" t="s">
        <v>338</v>
      </c>
      <c r="W4" s="512" t="s">
        <v>417</v>
      </c>
      <c r="X4" s="513"/>
      <c r="Y4" s="513"/>
      <c r="Z4" s="513"/>
      <c r="AA4" s="514"/>
    </row>
    <row r="5" spans="2:27" ht="13">
      <c r="B5" t="s">
        <v>27</v>
      </c>
      <c r="D5" s="6">
        <f>'3)Units&amp;Revenue'!T22</f>
        <v>0</v>
      </c>
      <c r="E5" s="6" t="e">
        <f>D5/Units</f>
        <v>#DIV/0!</v>
      </c>
      <c r="H5" t="s">
        <v>42</v>
      </c>
      <c r="J5" s="6">
        <v>0</v>
      </c>
      <c r="K5" s="6" t="e">
        <f t="shared" ref="K5:K15" si="0">J5/Units</f>
        <v>#DIV/0!</v>
      </c>
      <c r="W5" s="389"/>
      <c r="X5" s="390" t="s">
        <v>97</v>
      </c>
      <c r="Y5" s="391" t="s">
        <v>104</v>
      </c>
      <c r="Z5" s="392" t="s">
        <v>387</v>
      </c>
      <c r="AA5" s="392" t="s">
        <v>388</v>
      </c>
    </row>
    <row r="6" spans="2:27">
      <c r="B6" t="s">
        <v>28</v>
      </c>
      <c r="D6" s="6">
        <v>0</v>
      </c>
      <c r="E6" s="6" t="e">
        <f>D6/Units</f>
        <v>#DIV/0!</v>
      </c>
      <c r="H6" t="s">
        <v>43</v>
      </c>
      <c r="J6" s="6">
        <v>0</v>
      </c>
      <c r="K6" s="6" t="e">
        <f t="shared" si="0"/>
        <v>#DIV/0!</v>
      </c>
      <c r="W6" s="400" t="s">
        <v>408</v>
      </c>
      <c r="X6" s="414"/>
      <c r="Y6" s="414">
        <f>X6*0.045</f>
        <v>0</v>
      </c>
      <c r="Z6" s="415"/>
      <c r="AA6" s="415">
        <f>SUM(Y6:Z6)</f>
        <v>0</v>
      </c>
    </row>
    <row r="7" spans="2:27">
      <c r="B7" t="s">
        <v>15</v>
      </c>
      <c r="D7" s="6">
        <f>D5+D6</f>
        <v>0</v>
      </c>
      <c r="E7" s="6" t="e">
        <f>D7/Units</f>
        <v>#DIV/0!</v>
      </c>
      <c r="H7" t="s">
        <v>44</v>
      </c>
      <c r="J7" s="6">
        <v>0</v>
      </c>
      <c r="K7" s="6" t="e">
        <f t="shared" si="0"/>
        <v>#DIV/0!</v>
      </c>
      <c r="W7" s="401" t="s">
        <v>409</v>
      </c>
      <c r="X7" s="416"/>
      <c r="Y7" s="417">
        <f>X7*0.045</f>
        <v>0</v>
      </c>
      <c r="Z7" s="418"/>
      <c r="AA7" s="419">
        <f t="shared" ref="AA7:AA23" si="1">SUM(Y7:Z7)</f>
        <v>0</v>
      </c>
    </row>
    <row r="8" spans="2:27">
      <c r="B8" t="s">
        <v>29</v>
      </c>
      <c r="C8" s="77">
        <v>7.0000000000000007E-2</v>
      </c>
      <c r="D8" s="10">
        <f>D7*C8</f>
        <v>0</v>
      </c>
      <c r="E8" s="10" t="e">
        <f>D8/Units</f>
        <v>#DIV/0!</v>
      </c>
      <c r="H8" t="s">
        <v>45</v>
      </c>
      <c r="J8" s="6">
        <v>0</v>
      </c>
      <c r="K8" s="6" t="e">
        <f t="shared" si="0"/>
        <v>#DIV/0!</v>
      </c>
      <c r="W8" s="400" t="s">
        <v>410</v>
      </c>
      <c r="X8" s="420"/>
      <c r="Y8" s="420">
        <f>X8*0.045</f>
        <v>0</v>
      </c>
      <c r="Z8" s="415"/>
      <c r="AA8" s="415">
        <f t="shared" si="1"/>
        <v>0</v>
      </c>
    </row>
    <row r="9" spans="2:27" ht="13">
      <c r="B9" s="4" t="s">
        <v>30</v>
      </c>
      <c r="D9" s="11">
        <f>D7-D8</f>
        <v>0</v>
      </c>
      <c r="E9" s="11" t="e">
        <f>D9/Units</f>
        <v>#DIV/0!</v>
      </c>
      <c r="F9" s="15" t="e">
        <f>D9/$D$9</f>
        <v>#DIV/0!</v>
      </c>
      <c r="H9" t="s">
        <v>46</v>
      </c>
      <c r="J9" s="6">
        <v>0</v>
      </c>
      <c r="K9" s="6" t="e">
        <f t="shared" si="0"/>
        <v>#DIV/0!</v>
      </c>
      <c r="W9" s="401" t="s">
        <v>389</v>
      </c>
      <c r="X9" s="416"/>
      <c r="Y9" s="417">
        <f>X9*0.045</f>
        <v>0</v>
      </c>
      <c r="Z9" s="418"/>
      <c r="AA9" s="419">
        <f t="shared" si="1"/>
        <v>0</v>
      </c>
    </row>
    <row r="10" spans="2:27" ht="13">
      <c r="B10" s="4"/>
      <c r="D10" s="11"/>
      <c r="E10" s="11"/>
      <c r="F10" s="15"/>
      <c r="H10" t="s">
        <v>407</v>
      </c>
      <c r="J10" s="6">
        <v>0</v>
      </c>
      <c r="K10" s="6" t="e">
        <f t="shared" si="0"/>
        <v>#DIV/0!</v>
      </c>
      <c r="W10" s="393"/>
      <c r="X10" s="416"/>
      <c r="Y10" s="417"/>
      <c r="Z10" s="418"/>
      <c r="AA10" s="419"/>
    </row>
    <row r="11" spans="2:27">
      <c r="H11" t="s">
        <v>47</v>
      </c>
      <c r="J11" s="6">
        <v>0</v>
      </c>
      <c r="K11" s="6" t="e">
        <f t="shared" si="0"/>
        <v>#DIV/0!</v>
      </c>
      <c r="W11" s="400" t="s">
        <v>390</v>
      </c>
      <c r="X11" s="420"/>
      <c r="Y11" s="420">
        <f t="shared" ref="Y11:Y23" si="2">X11*0.045</f>
        <v>0</v>
      </c>
      <c r="Z11" s="415"/>
      <c r="AA11" s="415">
        <f t="shared" si="1"/>
        <v>0</v>
      </c>
    </row>
    <row r="12" spans="2:27" ht="13.5" thickBot="1">
      <c r="B12" s="14" t="s">
        <v>59</v>
      </c>
      <c r="J12" s="6"/>
      <c r="K12" s="6"/>
      <c r="W12" s="401" t="s">
        <v>391</v>
      </c>
      <c r="X12" s="416"/>
      <c r="Y12" s="417">
        <f t="shared" si="2"/>
        <v>0</v>
      </c>
      <c r="Z12" s="418"/>
      <c r="AA12" s="419">
        <f t="shared" si="1"/>
        <v>0</v>
      </c>
    </row>
    <row r="13" spans="2:27">
      <c r="J13" s="6"/>
      <c r="K13" s="6"/>
      <c r="W13" s="400" t="s">
        <v>392</v>
      </c>
      <c r="X13" s="420"/>
      <c r="Y13" s="420">
        <f t="shared" si="2"/>
        <v>0</v>
      </c>
      <c r="Z13" s="415"/>
      <c r="AA13" s="415">
        <f t="shared" si="1"/>
        <v>0</v>
      </c>
    </row>
    <row r="14" spans="2:27" ht="13">
      <c r="B14" s="4" t="s">
        <v>31</v>
      </c>
      <c r="D14" s="314" t="s">
        <v>52</v>
      </c>
      <c r="E14" s="314" t="s">
        <v>53</v>
      </c>
      <c r="F14" s="315" t="s">
        <v>338</v>
      </c>
      <c r="H14" t="s">
        <v>19</v>
      </c>
      <c r="J14" s="10">
        <v>0</v>
      </c>
      <c r="K14" s="10" t="e">
        <f t="shared" si="0"/>
        <v>#DIV/0!</v>
      </c>
      <c r="M14" s="12"/>
      <c r="W14" s="401" t="s">
        <v>393</v>
      </c>
      <c r="X14" s="416"/>
      <c r="Y14" s="417">
        <f t="shared" si="2"/>
        <v>0</v>
      </c>
      <c r="Z14" s="418"/>
      <c r="AA14" s="419">
        <f t="shared" si="1"/>
        <v>0</v>
      </c>
    </row>
    <row r="15" spans="2:27" ht="13">
      <c r="B15" t="s">
        <v>32</v>
      </c>
      <c r="D15" s="395">
        <v>0</v>
      </c>
      <c r="E15" s="395" t="e">
        <f t="shared" ref="E15:E21" si="3">D15/Units</f>
        <v>#DIV/0!</v>
      </c>
      <c r="H15" s="4" t="s">
        <v>15</v>
      </c>
      <c r="J15" s="11">
        <f>SUM(J5:J14)</f>
        <v>0</v>
      </c>
      <c r="K15" s="11" t="e">
        <f t="shared" si="0"/>
        <v>#DIV/0!</v>
      </c>
      <c r="L15" s="15" t="e">
        <f>J15/$D$9</f>
        <v>#DIV/0!</v>
      </c>
      <c r="W15" s="400" t="s">
        <v>394</v>
      </c>
      <c r="X15" s="420"/>
      <c r="Y15" s="420">
        <f t="shared" si="2"/>
        <v>0</v>
      </c>
      <c r="Z15" s="415"/>
      <c r="AA15" s="415">
        <f t="shared" si="1"/>
        <v>0</v>
      </c>
    </row>
    <row r="16" spans="2:27" ht="13">
      <c r="B16" s="12" t="s">
        <v>411</v>
      </c>
      <c r="C16" s="433"/>
      <c r="D16" s="395">
        <f>F16</f>
        <v>0</v>
      </c>
      <c r="E16" s="395" t="e">
        <f t="shared" si="3"/>
        <v>#DIV/0!</v>
      </c>
      <c r="J16" s="6"/>
      <c r="K16" s="6"/>
      <c r="W16" s="401" t="s">
        <v>395</v>
      </c>
      <c r="X16" s="416"/>
      <c r="Y16" s="417">
        <f t="shared" si="2"/>
        <v>0</v>
      </c>
      <c r="Z16" s="418"/>
      <c r="AA16" s="419">
        <f t="shared" si="1"/>
        <v>0</v>
      </c>
    </row>
    <row r="17" spans="2:27" ht="13">
      <c r="B17" t="s">
        <v>33</v>
      </c>
      <c r="D17" s="395">
        <v>0</v>
      </c>
      <c r="E17" s="395" t="e">
        <f t="shared" si="3"/>
        <v>#DIV/0!</v>
      </c>
      <c r="H17" s="4" t="s">
        <v>49</v>
      </c>
      <c r="J17" s="314" t="s">
        <v>52</v>
      </c>
      <c r="K17" s="314" t="s">
        <v>53</v>
      </c>
      <c r="L17" s="315" t="s">
        <v>338</v>
      </c>
      <c r="W17" s="400" t="s">
        <v>396</v>
      </c>
      <c r="X17" s="420"/>
      <c r="Y17" s="420">
        <f t="shared" si="2"/>
        <v>0</v>
      </c>
      <c r="Z17" s="415"/>
      <c r="AA17" s="415">
        <f t="shared" si="1"/>
        <v>0</v>
      </c>
    </row>
    <row r="18" spans="2:27">
      <c r="B18" t="s">
        <v>34</v>
      </c>
      <c r="D18" s="395">
        <v>0</v>
      </c>
      <c r="E18" s="395" t="e">
        <f t="shared" si="3"/>
        <v>#DIV/0!</v>
      </c>
      <c r="H18" t="s">
        <v>50</v>
      </c>
      <c r="J18" s="6">
        <v>0</v>
      </c>
      <c r="K18" s="6" t="e">
        <f t="shared" ref="K18:K23" si="4">J18/Units</f>
        <v>#DIV/0!</v>
      </c>
      <c r="W18" s="401" t="s">
        <v>397</v>
      </c>
      <c r="X18" s="416"/>
      <c r="Y18" s="417">
        <f t="shared" si="2"/>
        <v>0</v>
      </c>
      <c r="Z18" s="418"/>
      <c r="AA18" s="419">
        <f t="shared" si="1"/>
        <v>0</v>
      </c>
    </row>
    <row r="19" spans="2:27" ht="13">
      <c r="B19" t="s">
        <v>35</v>
      </c>
      <c r="D19" s="395">
        <v>0</v>
      </c>
      <c r="E19" s="395" t="e">
        <f t="shared" si="3"/>
        <v>#DIV/0!</v>
      </c>
      <c r="H19" s="12" t="s">
        <v>413</v>
      </c>
      <c r="J19" s="6">
        <v>0</v>
      </c>
      <c r="K19" s="6" t="e">
        <f t="shared" si="4"/>
        <v>#DIV/0!</v>
      </c>
      <c r="W19" s="400" t="s">
        <v>398</v>
      </c>
      <c r="X19" s="420"/>
      <c r="Y19" s="420">
        <f t="shared" si="2"/>
        <v>0</v>
      </c>
      <c r="Z19" s="415"/>
      <c r="AA19" s="415">
        <f t="shared" si="1"/>
        <v>0</v>
      </c>
    </row>
    <row r="20" spans="2:27" ht="13">
      <c r="B20" s="12"/>
      <c r="D20" s="10"/>
      <c r="E20" s="10"/>
      <c r="H20" s="12" t="s">
        <v>414</v>
      </c>
      <c r="J20" s="6">
        <v>0</v>
      </c>
      <c r="K20" s="6" t="e">
        <f t="shared" si="4"/>
        <v>#DIV/0!</v>
      </c>
      <c r="W20" s="401" t="s">
        <v>399</v>
      </c>
      <c r="X20" s="416"/>
      <c r="Y20" s="417">
        <f t="shared" si="2"/>
        <v>0</v>
      </c>
      <c r="Z20" s="418"/>
      <c r="AA20" s="419">
        <f t="shared" si="1"/>
        <v>0</v>
      </c>
    </row>
    <row r="21" spans="2:27" ht="13">
      <c r="B21" s="4" t="s">
        <v>15</v>
      </c>
      <c r="D21" s="11">
        <f>SUM(D15:D20)</f>
        <v>0</v>
      </c>
      <c r="E21" s="11" t="e">
        <f t="shared" si="3"/>
        <v>#DIV/0!</v>
      </c>
      <c r="F21" s="448" t="e">
        <f>D21/$D$9</f>
        <v>#DIV/0!</v>
      </c>
      <c r="H21" t="s">
        <v>51</v>
      </c>
      <c r="J21" s="6">
        <v>0</v>
      </c>
      <c r="K21" s="6" t="e">
        <f t="shared" si="4"/>
        <v>#DIV/0!</v>
      </c>
      <c r="W21" s="400" t="s">
        <v>400</v>
      </c>
      <c r="X21" s="420"/>
      <c r="Y21" s="420">
        <f t="shared" si="2"/>
        <v>0</v>
      </c>
      <c r="Z21" s="415"/>
      <c r="AA21" s="415">
        <f t="shared" si="1"/>
        <v>0</v>
      </c>
    </row>
    <row r="22" spans="2:27">
      <c r="H22" t="s">
        <v>19</v>
      </c>
      <c r="J22" s="10">
        <v>0</v>
      </c>
      <c r="K22" s="10" t="e">
        <f t="shared" si="4"/>
        <v>#DIV/0!</v>
      </c>
      <c r="W22" s="401" t="s">
        <v>401</v>
      </c>
      <c r="X22" s="416"/>
      <c r="Y22" s="417">
        <f t="shared" si="2"/>
        <v>0</v>
      </c>
      <c r="Z22" s="418"/>
      <c r="AA22" s="419">
        <f t="shared" si="1"/>
        <v>0</v>
      </c>
    </row>
    <row r="23" spans="2:27" ht="13">
      <c r="B23" s="4" t="s">
        <v>36</v>
      </c>
      <c r="D23" s="314" t="s">
        <v>52</v>
      </c>
      <c r="E23" s="314" t="s">
        <v>53</v>
      </c>
      <c r="F23" s="315" t="s">
        <v>338</v>
      </c>
      <c r="H23" s="4" t="s">
        <v>15</v>
      </c>
      <c r="J23" s="11">
        <f>SUM(J18:J22)</f>
        <v>0</v>
      </c>
      <c r="K23" s="11" t="e">
        <f t="shared" si="4"/>
        <v>#DIV/0!</v>
      </c>
      <c r="L23" s="448" t="e">
        <f>J23/$D$9</f>
        <v>#DIV/0!</v>
      </c>
      <c r="W23" s="515" t="s">
        <v>402</v>
      </c>
      <c r="X23" s="516"/>
      <c r="Y23" s="516">
        <f t="shared" si="2"/>
        <v>0</v>
      </c>
      <c r="Z23" s="517"/>
      <c r="AA23" s="517">
        <f t="shared" si="1"/>
        <v>0</v>
      </c>
    </row>
    <row r="24" spans="2:27">
      <c r="B24" s="12" t="s">
        <v>37</v>
      </c>
      <c r="C24" s="12"/>
      <c r="D24" s="395">
        <v>0</v>
      </c>
      <c r="E24" s="6" t="e">
        <f t="shared" ref="E24:E30" si="5">D24/Units</f>
        <v>#DIV/0!</v>
      </c>
      <c r="J24" s="6"/>
      <c r="K24" s="6"/>
      <c r="X24" s="402">
        <f>X23-AA23</f>
        <v>0</v>
      </c>
      <c r="AA24" s="402">
        <f>SUM(AA6:AA23)</f>
        <v>0</v>
      </c>
    </row>
    <row r="25" spans="2:27" ht="13">
      <c r="B25" s="12" t="s">
        <v>38</v>
      </c>
      <c r="C25" s="12"/>
      <c r="D25" s="395">
        <v>0</v>
      </c>
      <c r="E25" s="6" t="e">
        <f t="shared" si="5"/>
        <v>#DIV/0!</v>
      </c>
      <c r="H25" s="4" t="s">
        <v>67</v>
      </c>
      <c r="J25" s="11">
        <f>J23+J15+D30+D21</f>
        <v>0</v>
      </c>
      <c r="K25" s="11" t="e">
        <f>J25/Units</f>
        <v>#DIV/0!</v>
      </c>
      <c r="L25" s="448" t="e">
        <f>J25/$D$9</f>
        <v>#DIV/0!</v>
      </c>
    </row>
    <row r="26" spans="2:27">
      <c r="B26" s="12" t="s">
        <v>39</v>
      </c>
      <c r="C26" s="12"/>
      <c r="D26" s="395">
        <v>0</v>
      </c>
      <c r="E26" s="6" t="e">
        <f t="shared" si="5"/>
        <v>#DIV/0!</v>
      </c>
      <c r="J26" s="6"/>
      <c r="K26" s="6"/>
    </row>
    <row r="27" spans="2:27" ht="13">
      <c r="B27" s="12" t="s">
        <v>40</v>
      </c>
      <c r="C27" s="12"/>
      <c r="D27" s="395">
        <v>0</v>
      </c>
      <c r="E27" s="6" t="e">
        <f t="shared" si="5"/>
        <v>#DIV/0!</v>
      </c>
      <c r="H27" s="4" t="s">
        <v>55</v>
      </c>
      <c r="J27" s="11">
        <f>D9-J25</f>
        <v>0</v>
      </c>
      <c r="K27" s="11" t="e">
        <f>E9-K25</f>
        <v>#DIV/0!</v>
      </c>
      <c r="L27" s="448" t="e">
        <f>J27/$D$9</f>
        <v>#DIV/0!</v>
      </c>
    </row>
    <row r="28" spans="2:27" ht="13">
      <c r="B28" s="12" t="s">
        <v>412</v>
      </c>
      <c r="C28" s="12"/>
      <c r="D28" s="395">
        <v>0</v>
      </c>
      <c r="E28" s="6" t="e">
        <f t="shared" si="5"/>
        <v>#DIV/0!</v>
      </c>
      <c r="H28" s="4"/>
      <c r="J28" s="11"/>
      <c r="K28" s="11"/>
      <c r="L28" s="448"/>
    </row>
    <row r="29" spans="2:27">
      <c r="B29" s="12" t="s">
        <v>48</v>
      </c>
      <c r="C29" s="12"/>
      <c r="D29" s="396">
        <v>0</v>
      </c>
      <c r="E29" s="10" t="e">
        <f t="shared" si="5"/>
        <v>#DIV/0!</v>
      </c>
    </row>
    <row r="30" spans="2:27" ht="13.5" thickBot="1">
      <c r="B30" s="4" t="s">
        <v>15</v>
      </c>
      <c r="D30" s="11">
        <f>SUM(D24:D29)</f>
        <v>0</v>
      </c>
      <c r="E30" s="11" t="e">
        <f t="shared" si="5"/>
        <v>#DIV/0!</v>
      </c>
      <c r="F30" s="15" t="e">
        <f>D30/$D$9</f>
        <v>#DIV/0!</v>
      </c>
      <c r="H30" s="14" t="s">
        <v>68</v>
      </c>
      <c r="R30" s="4" t="s">
        <v>386</v>
      </c>
    </row>
    <row r="31" spans="2:27">
      <c r="H31" t="s">
        <v>69</v>
      </c>
      <c r="J31" s="17" t="e">
        <f>R31</f>
        <v>#DIV/0!</v>
      </c>
      <c r="R31" t="e">
        <f>J27/J32</f>
        <v>#DIV/0!</v>
      </c>
    </row>
    <row r="32" spans="2:27">
      <c r="H32" s="12" t="s">
        <v>70</v>
      </c>
      <c r="J32" s="6">
        <v>0</v>
      </c>
    </row>
    <row r="33" spans="2:11">
      <c r="H33" s="12" t="s">
        <v>71</v>
      </c>
      <c r="J33">
        <v>40</v>
      </c>
    </row>
    <row r="34" spans="2:11">
      <c r="H34" s="12" t="s">
        <v>72</v>
      </c>
      <c r="J34" s="397">
        <v>4.4999999999999998E-2</v>
      </c>
    </row>
    <row r="35" spans="2:11" ht="13">
      <c r="H35" s="4" t="s">
        <v>73</v>
      </c>
      <c r="J35" s="11">
        <v>0</v>
      </c>
    </row>
    <row r="37" spans="2:11">
      <c r="J37" s="1" t="s">
        <v>52</v>
      </c>
      <c r="K37" s="1" t="s">
        <v>53</v>
      </c>
    </row>
    <row r="38" spans="2:11" ht="13">
      <c r="H38" s="4" t="s">
        <v>56</v>
      </c>
      <c r="J38" s="148">
        <f>J27-J32</f>
        <v>0</v>
      </c>
      <c r="K38" s="11" t="e">
        <f>J38/Units</f>
        <v>#DIV/0!</v>
      </c>
    </row>
    <row r="39" spans="2:11">
      <c r="B39" s="403" t="s">
        <v>418</v>
      </c>
    </row>
    <row r="41" spans="2:11">
      <c r="B41" s="403"/>
      <c r="C41" s="6"/>
    </row>
    <row r="43" spans="2:11">
      <c r="B43" s="403"/>
    </row>
  </sheetData>
  <mergeCells count="2">
    <mergeCell ref="B1:L1"/>
    <mergeCell ref="W4:AA4"/>
  </mergeCells>
  <phoneticPr fontId="0" type="noConversion"/>
  <printOptions horizontalCentered="1"/>
  <pageMargins left="0.75" right="0.75" top="1" bottom="1" header="0.5" footer="0.5"/>
  <pageSetup scale="75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41"/>
  <sheetViews>
    <sheetView zoomScaleNormal="100" workbookViewId="0">
      <pane xSplit="3" ySplit="5" topLeftCell="I6" activePane="bottomRight" state="frozen"/>
      <selection activeCell="E57" sqref="E57"/>
      <selection pane="topRight" activeCell="E57" sqref="E57"/>
      <selection pane="bottomLeft" activeCell="E57" sqref="E57"/>
      <selection pane="bottomRight" activeCell="A36" sqref="A36"/>
    </sheetView>
  </sheetViews>
  <sheetFormatPr defaultRowHeight="12.5"/>
  <cols>
    <col min="1" max="1" width="24.1796875" customWidth="1"/>
    <col min="2" max="2" width="5.453125" bestFit="1" customWidth="1"/>
    <col min="3" max="3" width="9.7265625" bestFit="1" customWidth="1"/>
    <col min="4" max="4" width="11.26953125" bestFit="1" customWidth="1"/>
    <col min="5" max="5" width="11.1796875" bestFit="1" customWidth="1"/>
    <col min="6" max="6" width="11.26953125" bestFit="1" customWidth="1"/>
    <col min="7" max="13" width="12.1796875" bestFit="1" customWidth="1"/>
    <col min="14" max="14" width="11.1796875" bestFit="1" customWidth="1"/>
    <col min="15" max="16" width="12.1796875" bestFit="1" customWidth="1"/>
    <col min="17" max="18" width="12" bestFit="1" customWidth="1"/>
    <col min="19" max="19" width="13.453125" customWidth="1"/>
    <col min="20" max="20" width="14.26953125" customWidth="1"/>
  </cols>
  <sheetData>
    <row r="1" spans="1:18" ht="16" thickBot="1">
      <c r="A1" s="505" t="s">
        <v>424</v>
      </c>
      <c r="B1" s="506"/>
      <c r="C1" s="507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</row>
    <row r="3" spans="1:18" ht="13">
      <c r="A3" s="508"/>
      <c r="B3" s="508"/>
      <c r="C3" s="508"/>
      <c r="D3" s="509" t="s">
        <v>108</v>
      </c>
      <c r="E3" s="509" t="s">
        <v>108</v>
      </c>
      <c r="F3" s="509" t="s">
        <v>108</v>
      </c>
      <c r="G3" s="509" t="s">
        <v>108</v>
      </c>
      <c r="H3" s="509" t="s">
        <v>108</v>
      </c>
      <c r="I3" s="509" t="s">
        <v>108</v>
      </c>
      <c r="J3" s="509" t="s">
        <v>108</v>
      </c>
      <c r="K3" s="509" t="s">
        <v>108</v>
      </c>
      <c r="L3" s="509" t="s">
        <v>108</v>
      </c>
      <c r="M3" s="509" t="s">
        <v>108</v>
      </c>
      <c r="N3" s="509" t="s">
        <v>108</v>
      </c>
      <c r="O3" s="509" t="s">
        <v>108</v>
      </c>
      <c r="P3" s="509" t="s">
        <v>108</v>
      </c>
      <c r="Q3" s="509" t="s">
        <v>108</v>
      </c>
      <c r="R3" s="509" t="s">
        <v>108</v>
      </c>
    </row>
    <row r="4" spans="1:18" s="13" customFormat="1" ht="13">
      <c r="A4" s="509"/>
      <c r="B4" s="509"/>
      <c r="C4" s="509"/>
      <c r="D4" s="509">
        <v>1</v>
      </c>
      <c r="E4" s="509">
        <v>2</v>
      </c>
      <c r="F4" s="509">
        <v>3</v>
      </c>
      <c r="G4" s="509">
        <v>4</v>
      </c>
      <c r="H4" s="509">
        <v>5</v>
      </c>
      <c r="I4" s="509">
        <v>6</v>
      </c>
      <c r="J4" s="509">
        <v>7</v>
      </c>
      <c r="K4" s="509">
        <v>8</v>
      </c>
      <c r="L4" s="509">
        <v>9</v>
      </c>
      <c r="M4" s="509">
        <v>10</v>
      </c>
      <c r="N4" s="509">
        <v>11</v>
      </c>
      <c r="O4" s="509">
        <v>12</v>
      </c>
      <c r="P4" s="509">
        <v>13</v>
      </c>
      <c r="Q4" s="509">
        <v>14</v>
      </c>
      <c r="R4" s="509">
        <v>15</v>
      </c>
    </row>
    <row r="5" spans="1:18" ht="13.5" thickBot="1">
      <c r="A5" s="14" t="s">
        <v>58</v>
      </c>
      <c r="B5" s="4"/>
      <c r="C5" s="1" t="s">
        <v>84</v>
      </c>
    </row>
    <row r="6" spans="1:18">
      <c r="A6" t="s">
        <v>74</v>
      </c>
      <c r="C6" s="334">
        <v>0.02</v>
      </c>
      <c r="D6" s="6">
        <f>'4)Operating Budget'!D7</f>
        <v>0</v>
      </c>
      <c r="E6" s="6">
        <f>D6*(1+$C$6)</f>
        <v>0</v>
      </c>
      <c r="F6" s="6">
        <f>E6*(1+$C$6)</f>
        <v>0</v>
      </c>
      <c r="G6" s="6">
        <f t="shared" ref="G6:R6" si="0">F6*(1+$C$6)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6">
        <f t="shared" si="0"/>
        <v>0</v>
      </c>
      <c r="M6" s="6">
        <f t="shared" si="0"/>
        <v>0</v>
      </c>
      <c r="N6" s="6">
        <f t="shared" si="0"/>
        <v>0</v>
      </c>
      <c r="O6" s="6">
        <f t="shared" si="0"/>
        <v>0</v>
      </c>
      <c r="P6" s="6">
        <f t="shared" si="0"/>
        <v>0</v>
      </c>
      <c r="Q6" s="6">
        <f t="shared" si="0"/>
        <v>0</v>
      </c>
      <c r="R6" s="6">
        <f t="shared" si="0"/>
        <v>0</v>
      </c>
    </row>
    <row r="7" spans="1:18">
      <c r="A7" t="s">
        <v>77</v>
      </c>
      <c r="B7" s="335">
        <f>'4)Operating Budget'!C8</f>
        <v>7.0000000000000007E-2</v>
      </c>
      <c r="C7" s="334"/>
      <c r="D7" s="6">
        <f t="shared" ref="D7:R7" si="1">D6*$B$7</f>
        <v>0</v>
      </c>
      <c r="E7" s="6">
        <f t="shared" si="1"/>
        <v>0</v>
      </c>
      <c r="F7" s="6">
        <f t="shared" si="1"/>
        <v>0</v>
      </c>
      <c r="G7" s="6">
        <f t="shared" si="1"/>
        <v>0</v>
      </c>
      <c r="H7" s="6">
        <f t="shared" si="1"/>
        <v>0</v>
      </c>
      <c r="I7" s="6">
        <f t="shared" si="1"/>
        <v>0</v>
      </c>
      <c r="J7" s="6">
        <f t="shared" si="1"/>
        <v>0</v>
      </c>
      <c r="K7" s="6">
        <f t="shared" si="1"/>
        <v>0</v>
      </c>
      <c r="L7" s="6">
        <f t="shared" si="1"/>
        <v>0</v>
      </c>
      <c r="M7" s="6">
        <f t="shared" si="1"/>
        <v>0</v>
      </c>
      <c r="N7" s="6">
        <f t="shared" si="1"/>
        <v>0</v>
      </c>
      <c r="O7" s="6">
        <f t="shared" si="1"/>
        <v>0</v>
      </c>
      <c r="P7" s="6">
        <f t="shared" si="1"/>
        <v>0</v>
      </c>
      <c r="Q7" s="6">
        <f t="shared" si="1"/>
        <v>0</v>
      </c>
      <c r="R7" s="6">
        <f t="shared" si="1"/>
        <v>0</v>
      </c>
    </row>
    <row r="8" spans="1:18" ht="13.5" thickBot="1">
      <c r="A8" s="14" t="s">
        <v>343</v>
      </c>
      <c r="B8" s="14"/>
      <c r="C8" s="70"/>
      <c r="D8" s="60">
        <f>D6-D7</f>
        <v>0</v>
      </c>
      <c r="E8" s="60">
        <f t="shared" ref="E8:R8" si="2">E6-E7</f>
        <v>0</v>
      </c>
      <c r="F8" s="60">
        <f t="shared" si="2"/>
        <v>0</v>
      </c>
      <c r="G8" s="60">
        <f t="shared" si="2"/>
        <v>0</v>
      </c>
      <c r="H8" s="60">
        <f t="shared" si="2"/>
        <v>0</v>
      </c>
      <c r="I8" s="60">
        <f t="shared" si="2"/>
        <v>0</v>
      </c>
      <c r="J8" s="60">
        <f t="shared" si="2"/>
        <v>0</v>
      </c>
      <c r="K8" s="60">
        <f t="shared" si="2"/>
        <v>0</v>
      </c>
      <c r="L8" s="60">
        <f t="shared" si="2"/>
        <v>0</v>
      </c>
      <c r="M8" s="60">
        <f t="shared" si="2"/>
        <v>0</v>
      </c>
      <c r="N8" s="60">
        <f t="shared" si="2"/>
        <v>0</v>
      </c>
      <c r="O8" s="60">
        <f t="shared" si="2"/>
        <v>0</v>
      </c>
      <c r="P8" s="60">
        <f t="shared" si="2"/>
        <v>0</v>
      </c>
      <c r="Q8" s="60">
        <f t="shared" si="2"/>
        <v>0</v>
      </c>
      <c r="R8" s="60">
        <f t="shared" si="2"/>
        <v>0</v>
      </c>
    </row>
    <row r="9" spans="1:18" ht="13">
      <c r="A9" s="18" t="s">
        <v>53</v>
      </c>
      <c r="B9" s="4"/>
      <c r="D9" s="6" t="e">
        <f t="shared" ref="D9:R9" si="3">D8/Units</f>
        <v>#DIV/0!</v>
      </c>
      <c r="E9" s="6" t="e">
        <f t="shared" si="3"/>
        <v>#DIV/0!</v>
      </c>
      <c r="F9" s="6" t="e">
        <f t="shared" si="3"/>
        <v>#DIV/0!</v>
      </c>
      <c r="G9" s="6" t="e">
        <f t="shared" si="3"/>
        <v>#DIV/0!</v>
      </c>
      <c r="H9" s="6" t="e">
        <f t="shared" si="3"/>
        <v>#DIV/0!</v>
      </c>
      <c r="I9" s="6" t="e">
        <f t="shared" si="3"/>
        <v>#DIV/0!</v>
      </c>
      <c r="J9" s="6" t="e">
        <f t="shared" si="3"/>
        <v>#DIV/0!</v>
      </c>
      <c r="K9" s="6" t="e">
        <f t="shared" si="3"/>
        <v>#DIV/0!</v>
      </c>
      <c r="L9" s="6" t="e">
        <f t="shared" si="3"/>
        <v>#DIV/0!</v>
      </c>
      <c r="M9" s="6" t="e">
        <f t="shared" si="3"/>
        <v>#DIV/0!</v>
      </c>
      <c r="N9" s="6" t="e">
        <f t="shared" si="3"/>
        <v>#DIV/0!</v>
      </c>
      <c r="O9" s="6" t="e">
        <f t="shared" si="3"/>
        <v>#DIV/0!</v>
      </c>
      <c r="P9" s="6" t="e">
        <f t="shared" si="3"/>
        <v>#DIV/0!</v>
      </c>
      <c r="Q9" s="6" t="e">
        <f t="shared" si="3"/>
        <v>#DIV/0!</v>
      </c>
      <c r="R9" s="6" t="e">
        <f t="shared" si="3"/>
        <v>#DIV/0!</v>
      </c>
    </row>
    <row r="10" spans="1:18" ht="10.5" customHeight="1">
      <c r="D10" s="6"/>
    </row>
    <row r="11" spans="1:18" ht="13.5" thickBot="1">
      <c r="A11" s="14" t="s">
        <v>59</v>
      </c>
      <c r="B11" s="4"/>
      <c r="C11" s="1" t="s">
        <v>84</v>
      </c>
      <c r="D11" s="6"/>
    </row>
    <row r="12" spans="1:18">
      <c r="A12" t="s">
        <v>75</v>
      </c>
      <c r="C12" s="334">
        <v>2.5000000000000001E-2</v>
      </c>
      <c r="D12" s="6">
        <f>'4)Operating Budget'!D21</f>
        <v>0</v>
      </c>
      <c r="E12" s="6">
        <f>D12*(1+$C$12)</f>
        <v>0</v>
      </c>
      <c r="F12" s="6">
        <f t="shared" ref="F12:R12" si="4">E12*(1+$C$12)</f>
        <v>0</v>
      </c>
      <c r="G12" s="6">
        <f t="shared" si="4"/>
        <v>0</v>
      </c>
      <c r="H12" s="6">
        <f t="shared" si="4"/>
        <v>0</v>
      </c>
      <c r="I12" s="6">
        <f t="shared" si="4"/>
        <v>0</v>
      </c>
      <c r="J12" s="6">
        <f t="shared" si="4"/>
        <v>0</v>
      </c>
      <c r="K12" s="6">
        <f t="shared" si="4"/>
        <v>0</v>
      </c>
      <c r="L12" s="6">
        <f t="shared" si="4"/>
        <v>0</v>
      </c>
      <c r="M12" s="6">
        <f t="shared" si="4"/>
        <v>0</v>
      </c>
      <c r="N12" s="6">
        <f t="shared" si="4"/>
        <v>0</v>
      </c>
      <c r="O12" s="6">
        <f t="shared" si="4"/>
        <v>0</v>
      </c>
      <c r="P12" s="6">
        <f t="shared" si="4"/>
        <v>0</v>
      </c>
      <c r="Q12" s="6">
        <f t="shared" si="4"/>
        <v>0</v>
      </c>
      <c r="R12" s="6">
        <f t="shared" si="4"/>
        <v>0</v>
      </c>
    </row>
    <row r="13" spans="1:18">
      <c r="A13" s="12" t="s">
        <v>36</v>
      </c>
      <c r="B13" s="12"/>
      <c r="C13" s="334">
        <v>2.5000000000000001E-2</v>
      </c>
      <c r="D13" s="6">
        <f>'4)Operating Budget'!D30</f>
        <v>0</v>
      </c>
      <c r="E13" s="6">
        <f>D13*(1+$C$13)</f>
        <v>0</v>
      </c>
      <c r="F13" s="6">
        <f t="shared" ref="F13:R13" si="5">E13*(1+$C$13)</f>
        <v>0</v>
      </c>
      <c r="G13" s="6">
        <f t="shared" si="5"/>
        <v>0</v>
      </c>
      <c r="H13" s="6">
        <f t="shared" si="5"/>
        <v>0</v>
      </c>
      <c r="I13" s="6">
        <f t="shared" si="5"/>
        <v>0</v>
      </c>
      <c r="J13" s="6">
        <f t="shared" si="5"/>
        <v>0</v>
      </c>
      <c r="K13" s="6">
        <f t="shared" si="5"/>
        <v>0</v>
      </c>
      <c r="L13" s="6">
        <f t="shared" si="5"/>
        <v>0</v>
      </c>
      <c r="M13" s="6">
        <f t="shared" si="5"/>
        <v>0</v>
      </c>
      <c r="N13" s="6">
        <f t="shared" si="5"/>
        <v>0</v>
      </c>
      <c r="O13" s="6">
        <f t="shared" si="5"/>
        <v>0</v>
      </c>
      <c r="P13" s="6">
        <f t="shared" si="5"/>
        <v>0</v>
      </c>
      <c r="Q13" s="6">
        <f t="shared" si="5"/>
        <v>0</v>
      </c>
      <c r="R13" s="6">
        <f t="shared" si="5"/>
        <v>0</v>
      </c>
    </row>
    <row r="14" spans="1:18">
      <c r="A14" t="s">
        <v>41</v>
      </c>
      <c r="C14" s="334">
        <v>0.04</v>
      </c>
      <c r="D14" s="6">
        <f>'4)Operating Budget'!J15</f>
        <v>0</v>
      </c>
      <c r="E14" s="6">
        <f>D14*(1+$C$14)</f>
        <v>0</v>
      </c>
      <c r="F14" s="6">
        <f t="shared" ref="F14:R14" si="6">E14*(1+$C$14)</f>
        <v>0</v>
      </c>
      <c r="G14" s="6">
        <f t="shared" si="6"/>
        <v>0</v>
      </c>
      <c r="H14" s="6">
        <f t="shared" si="6"/>
        <v>0</v>
      </c>
      <c r="I14" s="6">
        <f t="shared" si="6"/>
        <v>0</v>
      </c>
      <c r="J14" s="6">
        <f t="shared" si="6"/>
        <v>0</v>
      </c>
      <c r="K14" s="6">
        <f t="shared" si="6"/>
        <v>0</v>
      </c>
      <c r="L14" s="6">
        <f t="shared" si="6"/>
        <v>0</v>
      </c>
      <c r="M14" s="6">
        <f t="shared" si="6"/>
        <v>0</v>
      </c>
      <c r="N14" s="6">
        <f t="shared" si="6"/>
        <v>0</v>
      </c>
      <c r="O14" s="6">
        <f t="shared" si="6"/>
        <v>0</v>
      </c>
      <c r="P14" s="6">
        <f t="shared" si="6"/>
        <v>0</v>
      </c>
      <c r="Q14" s="6">
        <f t="shared" si="6"/>
        <v>0</v>
      </c>
      <c r="R14" s="6">
        <f t="shared" si="6"/>
        <v>0</v>
      </c>
    </row>
    <row r="15" spans="1:18" ht="13" thickBot="1">
      <c r="A15" s="70" t="s">
        <v>49</v>
      </c>
      <c r="B15" s="70"/>
      <c r="C15" s="425">
        <v>0.03</v>
      </c>
      <c r="D15" s="60">
        <f>'4)Operating Budget'!J23</f>
        <v>0</v>
      </c>
      <c r="E15" s="60">
        <f>D15*(1+$C$15)</f>
        <v>0</v>
      </c>
      <c r="F15" s="60">
        <f t="shared" ref="F15:R15" si="7">E15*(1+$C$15)</f>
        <v>0</v>
      </c>
      <c r="G15" s="60">
        <f t="shared" si="7"/>
        <v>0</v>
      </c>
      <c r="H15" s="60">
        <f t="shared" si="7"/>
        <v>0</v>
      </c>
      <c r="I15" s="60">
        <f t="shared" si="7"/>
        <v>0</v>
      </c>
      <c r="J15" s="60">
        <f t="shared" si="7"/>
        <v>0</v>
      </c>
      <c r="K15" s="60">
        <f t="shared" si="7"/>
        <v>0</v>
      </c>
      <c r="L15" s="60">
        <f t="shared" si="7"/>
        <v>0</v>
      </c>
      <c r="M15" s="60">
        <f t="shared" si="7"/>
        <v>0</v>
      </c>
      <c r="N15" s="60">
        <f t="shared" si="7"/>
        <v>0</v>
      </c>
      <c r="O15" s="60">
        <f t="shared" si="7"/>
        <v>0</v>
      </c>
      <c r="P15" s="60">
        <f t="shared" si="7"/>
        <v>0</v>
      </c>
      <c r="Q15" s="60">
        <f t="shared" si="7"/>
        <v>0</v>
      </c>
      <c r="R15" s="60">
        <f t="shared" si="7"/>
        <v>0</v>
      </c>
    </row>
    <row r="16" spans="1:18" ht="13.5" thickBot="1">
      <c r="A16" s="74" t="s">
        <v>67</v>
      </c>
      <c r="B16" s="74"/>
      <c r="C16" s="426"/>
      <c r="D16" s="75">
        <f>SUM(D12:D15)</f>
        <v>0</v>
      </c>
      <c r="E16" s="75">
        <f t="shared" ref="E16:R16" si="8">SUM(E12:E15)</f>
        <v>0</v>
      </c>
      <c r="F16" s="75">
        <f t="shared" si="8"/>
        <v>0</v>
      </c>
      <c r="G16" s="75">
        <f t="shared" si="8"/>
        <v>0</v>
      </c>
      <c r="H16" s="75">
        <f t="shared" si="8"/>
        <v>0</v>
      </c>
      <c r="I16" s="75">
        <f t="shared" si="8"/>
        <v>0</v>
      </c>
      <c r="J16" s="75">
        <f t="shared" si="8"/>
        <v>0</v>
      </c>
      <c r="K16" s="75">
        <f t="shared" si="8"/>
        <v>0</v>
      </c>
      <c r="L16" s="75">
        <f t="shared" si="8"/>
        <v>0</v>
      </c>
      <c r="M16" s="75">
        <f t="shared" si="8"/>
        <v>0</v>
      </c>
      <c r="N16" s="75">
        <f t="shared" si="8"/>
        <v>0</v>
      </c>
      <c r="O16" s="75">
        <f t="shared" si="8"/>
        <v>0</v>
      </c>
      <c r="P16" s="75">
        <f t="shared" si="8"/>
        <v>0</v>
      </c>
      <c r="Q16" s="75">
        <f t="shared" si="8"/>
        <v>0</v>
      </c>
      <c r="R16" s="75">
        <f t="shared" si="8"/>
        <v>0</v>
      </c>
    </row>
    <row r="17" spans="1:21" ht="13">
      <c r="A17" s="18" t="s">
        <v>53</v>
      </c>
      <c r="B17" s="4"/>
      <c r="D17" s="352" t="e">
        <f t="shared" ref="D17:R17" si="9">D16/Units</f>
        <v>#DIV/0!</v>
      </c>
      <c r="E17" s="352" t="e">
        <f t="shared" si="9"/>
        <v>#DIV/0!</v>
      </c>
      <c r="F17" s="352" t="e">
        <f t="shared" si="9"/>
        <v>#DIV/0!</v>
      </c>
      <c r="G17" s="352" t="e">
        <f t="shared" si="9"/>
        <v>#DIV/0!</v>
      </c>
      <c r="H17" s="352" t="e">
        <f t="shared" si="9"/>
        <v>#DIV/0!</v>
      </c>
      <c r="I17" s="352" t="e">
        <f t="shared" si="9"/>
        <v>#DIV/0!</v>
      </c>
      <c r="J17" s="352" t="e">
        <f t="shared" si="9"/>
        <v>#DIV/0!</v>
      </c>
      <c r="K17" s="352" t="e">
        <f t="shared" si="9"/>
        <v>#DIV/0!</v>
      </c>
      <c r="L17" s="352" t="e">
        <f t="shared" si="9"/>
        <v>#DIV/0!</v>
      </c>
      <c r="M17" s="352" t="e">
        <f t="shared" si="9"/>
        <v>#DIV/0!</v>
      </c>
      <c r="N17" s="352" t="e">
        <f t="shared" si="9"/>
        <v>#DIV/0!</v>
      </c>
      <c r="O17" s="352" t="e">
        <f t="shared" si="9"/>
        <v>#DIV/0!</v>
      </c>
      <c r="P17" s="352" t="e">
        <f t="shared" si="9"/>
        <v>#DIV/0!</v>
      </c>
      <c r="Q17" s="352" t="e">
        <f t="shared" si="9"/>
        <v>#DIV/0!</v>
      </c>
      <c r="R17" s="352" t="e">
        <f t="shared" si="9"/>
        <v>#DIV/0!</v>
      </c>
    </row>
    <row r="18" spans="1:21" ht="13.5" thickBot="1">
      <c r="A18" s="76"/>
      <c r="B18" s="14"/>
      <c r="C18" s="7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1:21" ht="13.5" thickBot="1">
      <c r="A19" s="74" t="s">
        <v>55</v>
      </c>
      <c r="B19" s="74"/>
      <c r="C19" s="426"/>
      <c r="D19" s="75">
        <f>D8-D16</f>
        <v>0</v>
      </c>
      <c r="E19" s="75">
        <f>E8-E16</f>
        <v>0</v>
      </c>
      <c r="F19" s="75">
        <f t="shared" ref="F19:R19" si="10">F8-F16</f>
        <v>0</v>
      </c>
      <c r="G19" s="75">
        <f t="shared" si="10"/>
        <v>0</v>
      </c>
      <c r="H19" s="75">
        <f t="shared" si="10"/>
        <v>0</v>
      </c>
      <c r="I19" s="75">
        <f t="shared" si="10"/>
        <v>0</v>
      </c>
      <c r="J19" s="75">
        <f t="shared" si="10"/>
        <v>0</v>
      </c>
      <c r="K19" s="75">
        <f t="shared" si="10"/>
        <v>0</v>
      </c>
      <c r="L19" s="75">
        <f t="shared" si="10"/>
        <v>0</v>
      </c>
      <c r="M19" s="75">
        <f t="shared" si="10"/>
        <v>0</v>
      </c>
      <c r="N19" s="75">
        <f t="shared" si="10"/>
        <v>0</v>
      </c>
      <c r="O19" s="75">
        <f t="shared" si="10"/>
        <v>0</v>
      </c>
      <c r="P19" s="75">
        <f t="shared" si="10"/>
        <v>0</v>
      </c>
      <c r="Q19" s="75">
        <f t="shared" si="10"/>
        <v>0</v>
      </c>
      <c r="R19" s="75">
        <f t="shared" si="10"/>
        <v>0</v>
      </c>
    </row>
    <row r="20" spans="1:21">
      <c r="A20" s="18" t="s">
        <v>53</v>
      </c>
      <c r="D20" s="352" t="e">
        <f t="shared" ref="D20:R20" si="11">D19/Units</f>
        <v>#DIV/0!</v>
      </c>
      <c r="E20" s="352" t="e">
        <f t="shared" si="11"/>
        <v>#DIV/0!</v>
      </c>
      <c r="F20" s="352" t="e">
        <f t="shared" si="11"/>
        <v>#DIV/0!</v>
      </c>
      <c r="G20" s="352" t="e">
        <f t="shared" si="11"/>
        <v>#DIV/0!</v>
      </c>
      <c r="H20" s="352" t="e">
        <f t="shared" si="11"/>
        <v>#DIV/0!</v>
      </c>
      <c r="I20" s="352" t="e">
        <f t="shared" si="11"/>
        <v>#DIV/0!</v>
      </c>
      <c r="J20" s="352" t="e">
        <f t="shared" si="11"/>
        <v>#DIV/0!</v>
      </c>
      <c r="K20" s="352" t="e">
        <f t="shared" si="11"/>
        <v>#DIV/0!</v>
      </c>
      <c r="L20" s="352" t="e">
        <f t="shared" si="11"/>
        <v>#DIV/0!</v>
      </c>
      <c r="M20" s="352" t="e">
        <f t="shared" si="11"/>
        <v>#DIV/0!</v>
      </c>
      <c r="N20" s="352" t="e">
        <f t="shared" si="11"/>
        <v>#DIV/0!</v>
      </c>
      <c r="O20" s="352" t="e">
        <f t="shared" si="11"/>
        <v>#DIV/0!</v>
      </c>
      <c r="P20" s="352" t="e">
        <f t="shared" si="11"/>
        <v>#DIV/0!</v>
      </c>
      <c r="Q20" s="352" t="e">
        <f t="shared" si="11"/>
        <v>#DIV/0!</v>
      </c>
      <c r="R20" s="352" t="e">
        <f t="shared" si="11"/>
        <v>#DIV/0!</v>
      </c>
    </row>
    <row r="21" spans="1:21">
      <c r="A21" s="18"/>
      <c r="D21" s="6"/>
    </row>
    <row r="22" spans="1:21" ht="13">
      <c r="A22" s="4" t="s">
        <v>76</v>
      </c>
      <c r="B22" s="4"/>
      <c r="D22" s="6">
        <v>0</v>
      </c>
      <c r="E22" s="6">
        <f>D22</f>
        <v>0</v>
      </c>
      <c r="F22" s="6">
        <f>D22</f>
        <v>0</v>
      </c>
      <c r="G22" s="6">
        <f>D22</f>
        <v>0</v>
      </c>
      <c r="H22" s="6">
        <f>D22</f>
        <v>0</v>
      </c>
      <c r="I22" s="6">
        <f>D22</f>
        <v>0</v>
      </c>
      <c r="J22" s="6">
        <f>D22</f>
        <v>0</v>
      </c>
      <c r="K22" s="6">
        <v>0</v>
      </c>
      <c r="L22" s="6">
        <f>K22</f>
        <v>0</v>
      </c>
      <c r="M22" s="6">
        <f>L22</f>
        <v>0</v>
      </c>
      <c r="N22" s="6">
        <f>K22</f>
        <v>0</v>
      </c>
      <c r="O22" s="6">
        <f>K22</f>
        <v>0</v>
      </c>
      <c r="P22" s="6">
        <f>K22</f>
        <v>0</v>
      </c>
      <c r="Q22" s="6">
        <f>K22</f>
        <v>0</v>
      </c>
      <c r="R22" s="6">
        <f>K22</f>
        <v>0</v>
      </c>
      <c r="T22" s="6">
        <f>SUM(D22:R22)</f>
        <v>0</v>
      </c>
    </row>
    <row r="23" spans="1:21">
      <c r="A23" t="s">
        <v>69</v>
      </c>
      <c r="D23" s="17" t="e">
        <f t="shared" ref="D23:R23" si="12">D19/D22</f>
        <v>#DIV/0!</v>
      </c>
      <c r="E23" s="17" t="e">
        <f t="shared" si="12"/>
        <v>#DIV/0!</v>
      </c>
      <c r="F23" s="17" t="e">
        <f t="shared" si="12"/>
        <v>#DIV/0!</v>
      </c>
      <c r="G23" s="17" t="e">
        <f t="shared" si="12"/>
        <v>#DIV/0!</v>
      </c>
      <c r="H23" s="17" t="e">
        <f t="shared" si="12"/>
        <v>#DIV/0!</v>
      </c>
      <c r="I23" s="17" t="e">
        <f t="shared" si="12"/>
        <v>#DIV/0!</v>
      </c>
      <c r="J23" s="17" t="e">
        <f t="shared" si="12"/>
        <v>#DIV/0!</v>
      </c>
      <c r="K23" s="17" t="e">
        <f t="shared" si="12"/>
        <v>#DIV/0!</v>
      </c>
      <c r="L23" s="17" t="e">
        <f t="shared" si="12"/>
        <v>#DIV/0!</v>
      </c>
      <c r="M23" s="17" t="e">
        <f t="shared" si="12"/>
        <v>#DIV/0!</v>
      </c>
      <c r="N23" s="17" t="e">
        <f t="shared" si="12"/>
        <v>#DIV/0!</v>
      </c>
      <c r="O23" s="17" t="e">
        <f t="shared" si="12"/>
        <v>#DIV/0!</v>
      </c>
      <c r="P23" s="17" t="e">
        <f t="shared" si="12"/>
        <v>#DIV/0!</v>
      </c>
      <c r="Q23" s="17" t="e">
        <f t="shared" si="12"/>
        <v>#DIV/0!</v>
      </c>
      <c r="R23" s="17" t="e">
        <f t="shared" si="12"/>
        <v>#DIV/0!</v>
      </c>
    </row>
    <row r="24" spans="1:21">
      <c r="A24" s="385" t="s">
        <v>368</v>
      </c>
      <c r="D24" s="384" t="e">
        <f t="shared" ref="D24:R24" si="13">D26/(D16+D22)</f>
        <v>#DIV/0!</v>
      </c>
      <c r="E24" s="384" t="e">
        <f t="shared" si="13"/>
        <v>#DIV/0!</v>
      </c>
      <c r="F24" s="384" t="e">
        <f t="shared" si="13"/>
        <v>#DIV/0!</v>
      </c>
      <c r="G24" s="384" t="e">
        <f t="shared" si="13"/>
        <v>#DIV/0!</v>
      </c>
      <c r="H24" s="384" t="e">
        <f t="shared" si="13"/>
        <v>#DIV/0!</v>
      </c>
      <c r="I24" s="384" t="e">
        <f t="shared" si="13"/>
        <v>#DIV/0!</v>
      </c>
      <c r="J24" s="384" t="e">
        <f t="shared" si="13"/>
        <v>#DIV/0!</v>
      </c>
      <c r="K24" s="384" t="e">
        <f t="shared" si="13"/>
        <v>#DIV/0!</v>
      </c>
      <c r="L24" s="384" t="e">
        <f t="shared" si="13"/>
        <v>#DIV/0!</v>
      </c>
      <c r="M24" s="384" t="e">
        <f t="shared" si="13"/>
        <v>#DIV/0!</v>
      </c>
      <c r="N24" s="384" t="e">
        <f t="shared" si="13"/>
        <v>#DIV/0!</v>
      </c>
      <c r="O24" s="384" t="e">
        <f t="shared" si="13"/>
        <v>#DIV/0!</v>
      </c>
      <c r="P24" s="384" t="e">
        <f t="shared" si="13"/>
        <v>#DIV/0!</v>
      </c>
      <c r="Q24" s="384" t="e">
        <f t="shared" si="13"/>
        <v>#DIV/0!</v>
      </c>
      <c r="R24" s="384" t="e">
        <f t="shared" si="13"/>
        <v>#DIV/0!</v>
      </c>
    </row>
    <row r="25" spans="1:21" ht="13" thickBot="1">
      <c r="T25" s="383" t="s">
        <v>367</v>
      </c>
      <c r="U25" s="382"/>
    </row>
    <row r="26" spans="1:21" s="4" customFormat="1" ht="13.5" thickBot="1">
      <c r="A26" s="74" t="s">
        <v>78</v>
      </c>
      <c r="B26" s="74"/>
      <c r="C26" s="74"/>
      <c r="D26" s="71">
        <f>SUM(D19-D22)</f>
        <v>0</v>
      </c>
      <c r="E26" s="71">
        <f t="shared" ref="E26:R26" si="14">SUM(E19-E22)</f>
        <v>0</v>
      </c>
      <c r="F26" s="71">
        <f t="shared" si="14"/>
        <v>0</v>
      </c>
      <c r="G26" s="71">
        <f t="shared" si="14"/>
        <v>0</v>
      </c>
      <c r="H26" s="71">
        <f t="shared" si="14"/>
        <v>0</v>
      </c>
      <c r="I26" s="71">
        <f t="shared" si="14"/>
        <v>0</v>
      </c>
      <c r="J26" s="71">
        <f t="shared" si="14"/>
        <v>0</v>
      </c>
      <c r="K26" s="71">
        <f t="shared" si="14"/>
        <v>0</v>
      </c>
      <c r="L26" s="71">
        <f t="shared" si="14"/>
        <v>0</v>
      </c>
      <c r="M26" s="71">
        <f t="shared" si="14"/>
        <v>0</v>
      </c>
      <c r="N26" s="71">
        <f t="shared" si="14"/>
        <v>0</v>
      </c>
      <c r="O26" s="71">
        <f t="shared" si="14"/>
        <v>0</v>
      </c>
      <c r="P26" s="71">
        <f t="shared" si="14"/>
        <v>0</v>
      </c>
      <c r="Q26" s="71">
        <f t="shared" si="14"/>
        <v>0</v>
      </c>
      <c r="R26" s="71">
        <f t="shared" si="14"/>
        <v>0</v>
      </c>
      <c r="S26" s="11"/>
      <c r="T26" s="380">
        <f>SUM(D26:R26)</f>
        <v>0</v>
      </c>
      <c r="U26" s="381"/>
    </row>
    <row r="27" spans="1:21">
      <c r="A27" s="18" t="s">
        <v>53</v>
      </c>
      <c r="D27" s="6" t="e">
        <f t="shared" ref="D27:R27" si="15">D26/Units</f>
        <v>#DIV/0!</v>
      </c>
      <c r="E27" s="6" t="e">
        <f t="shared" si="15"/>
        <v>#DIV/0!</v>
      </c>
      <c r="F27" s="6" t="e">
        <f t="shared" si="15"/>
        <v>#DIV/0!</v>
      </c>
      <c r="G27" s="6" t="e">
        <f t="shared" si="15"/>
        <v>#DIV/0!</v>
      </c>
      <c r="H27" s="6" t="e">
        <f t="shared" si="15"/>
        <v>#DIV/0!</v>
      </c>
      <c r="I27" s="6" t="e">
        <f t="shared" si="15"/>
        <v>#DIV/0!</v>
      </c>
      <c r="J27" s="6" t="e">
        <f t="shared" si="15"/>
        <v>#DIV/0!</v>
      </c>
      <c r="K27" s="6" t="e">
        <f t="shared" si="15"/>
        <v>#DIV/0!</v>
      </c>
      <c r="L27" s="6" t="e">
        <f t="shared" si="15"/>
        <v>#DIV/0!</v>
      </c>
      <c r="M27" s="6" t="e">
        <f t="shared" si="15"/>
        <v>#DIV/0!</v>
      </c>
      <c r="N27" s="6" t="e">
        <f t="shared" si="15"/>
        <v>#DIV/0!</v>
      </c>
      <c r="O27" s="6" t="e">
        <f t="shared" si="15"/>
        <v>#DIV/0!</v>
      </c>
      <c r="P27" s="6" t="e">
        <f t="shared" si="15"/>
        <v>#DIV/0!</v>
      </c>
      <c r="Q27" s="6" t="e">
        <f t="shared" si="15"/>
        <v>#DIV/0!</v>
      </c>
      <c r="R27" s="6" t="e">
        <f t="shared" si="15"/>
        <v>#DIV/0!</v>
      </c>
    </row>
    <row r="30" spans="1:21" ht="13">
      <c r="A30" s="4" t="s">
        <v>79</v>
      </c>
    </row>
    <row r="31" spans="1:21">
      <c r="A31" s="73" t="s">
        <v>81</v>
      </c>
      <c r="B31" s="19"/>
      <c r="C31" s="427"/>
      <c r="D31" s="46">
        <v>0</v>
      </c>
      <c r="E31" s="46">
        <f t="shared" ref="E31:M31" si="16">D35</f>
        <v>0</v>
      </c>
      <c r="F31" s="46">
        <f t="shared" si="16"/>
        <v>0</v>
      </c>
      <c r="G31" s="46">
        <f t="shared" si="16"/>
        <v>0</v>
      </c>
      <c r="H31" s="46">
        <f t="shared" si="16"/>
        <v>0</v>
      </c>
      <c r="I31" s="46">
        <f t="shared" si="16"/>
        <v>0</v>
      </c>
      <c r="J31" s="46">
        <f t="shared" si="16"/>
        <v>0</v>
      </c>
      <c r="K31" s="46">
        <f t="shared" si="16"/>
        <v>0</v>
      </c>
      <c r="L31" s="46">
        <f t="shared" si="16"/>
        <v>0</v>
      </c>
      <c r="M31" s="46">
        <f t="shared" si="16"/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</row>
    <row r="32" spans="1:21">
      <c r="A32" s="421" t="s">
        <v>416</v>
      </c>
      <c r="C32" s="428"/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</row>
    <row r="33" spans="1:18">
      <c r="A33" s="21" t="s">
        <v>80</v>
      </c>
      <c r="D33" s="6">
        <f t="shared" ref="D33:R33" si="17">MIN(D26,0)</f>
        <v>0</v>
      </c>
      <c r="E33" s="6">
        <f t="shared" si="17"/>
        <v>0</v>
      </c>
      <c r="F33" s="6">
        <f t="shared" si="17"/>
        <v>0</v>
      </c>
      <c r="G33" s="6">
        <f t="shared" si="17"/>
        <v>0</v>
      </c>
      <c r="H33" s="6">
        <f t="shared" si="17"/>
        <v>0</v>
      </c>
      <c r="I33" s="6">
        <f t="shared" si="17"/>
        <v>0</v>
      </c>
      <c r="J33" s="6">
        <f t="shared" si="17"/>
        <v>0</v>
      </c>
      <c r="K33" s="6">
        <f t="shared" si="17"/>
        <v>0</v>
      </c>
      <c r="L33" s="6">
        <f t="shared" si="17"/>
        <v>0</v>
      </c>
      <c r="M33" s="6">
        <f t="shared" si="17"/>
        <v>0</v>
      </c>
      <c r="N33" s="6">
        <f t="shared" si="17"/>
        <v>0</v>
      </c>
      <c r="O33" s="6">
        <f t="shared" si="17"/>
        <v>0</v>
      </c>
      <c r="P33" s="6">
        <f t="shared" si="17"/>
        <v>0</v>
      </c>
      <c r="Q33" s="6">
        <f t="shared" si="17"/>
        <v>0</v>
      </c>
      <c r="R33" s="6">
        <f t="shared" si="17"/>
        <v>0</v>
      </c>
    </row>
    <row r="34" spans="1:18">
      <c r="A34" s="21" t="s">
        <v>83</v>
      </c>
      <c r="C34" s="334">
        <v>5.0000000000000001E-3</v>
      </c>
      <c r="D34" s="6">
        <f>D31*$C$34</f>
        <v>0</v>
      </c>
      <c r="E34" s="6">
        <f t="shared" ref="E34:R34" si="18">E31*$C$34</f>
        <v>0</v>
      </c>
      <c r="F34" s="6">
        <f t="shared" si="18"/>
        <v>0</v>
      </c>
      <c r="G34" s="6">
        <f t="shared" si="18"/>
        <v>0</v>
      </c>
      <c r="H34" s="6">
        <f t="shared" si="18"/>
        <v>0</v>
      </c>
      <c r="I34" s="6">
        <f t="shared" si="18"/>
        <v>0</v>
      </c>
      <c r="J34" s="6">
        <f t="shared" si="18"/>
        <v>0</v>
      </c>
      <c r="K34" s="6">
        <f t="shared" si="18"/>
        <v>0</v>
      </c>
      <c r="L34" s="6">
        <f t="shared" si="18"/>
        <v>0</v>
      </c>
      <c r="M34" s="6">
        <f t="shared" si="18"/>
        <v>0</v>
      </c>
      <c r="N34" s="6">
        <f t="shared" si="18"/>
        <v>0</v>
      </c>
      <c r="O34" s="6">
        <f t="shared" si="18"/>
        <v>0</v>
      </c>
      <c r="P34" s="6">
        <f t="shared" si="18"/>
        <v>0</v>
      </c>
      <c r="Q34" s="6">
        <f t="shared" si="18"/>
        <v>0</v>
      </c>
      <c r="R34" s="6">
        <f t="shared" si="18"/>
        <v>0</v>
      </c>
    </row>
    <row r="35" spans="1:18">
      <c r="A35" s="16" t="s">
        <v>82</v>
      </c>
      <c r="B35" s="8"/>
      <c r="C35" s="8"/>
      <c r="D35" s="10">
        <f>D31+D33+D34</f>
        <v>0</v>
      </c>
      <c r="E35" s="10">
        <f t="shared" ref="E35:R35" si="19">SUM(E31:E34)</f>
        <v>0</v>
      </c>
      <c r="F35" s="10">
        <f t="shared" si="19"/>
        <v>0</v>
      </c>
      <c r="G35" s="10">
        <f t="shared" si="19"/>
        <v>0</v>
      </c>
      <c r="H35" s="10">
        <f t="shared" si="19"/>
        <v>0</v>
      </c>
      <c r="I35" s="10">
        <f t="shared" si="19"/>
        <v>0</v>
      </c>
      <c r="J35" s="10">
        <f t="shared" si="19"/>
        <v>0</v>
      </c>
      <c r="K35" s="10">
        <f t="shared" si="19"/>
        <v>0</v>
      </c>
      <c r="L35" s="10">
        <f t="shared" si="19"/>
        <v>0</v>
      </c>
      <c r="M35" s="10">
        <f t="shared" si="19"/>
        <v>0</v>
      </c>
      <c r="N35" s="10">
        <f t="shared" si="19"/>
        <v>0</v>
      </c>
      <c r="O35" s="10">
        <f t="shared" si="19"/>
        <v>0</v>
      </c>
      <c r="P35" s="10">
        <f t="shared" si="19"/>
        <v>0</v>
      </c>
      <c r="Q35" s="10">
        <f t="shared" si="19"/>
        <v>0</v>
      </c>
      <c r="R35" s="10">
        <f t="shared" si="19"/>
        <v>0</v>
      </c>
    </row>
    <row r="41" spans="1:18">
      <c r="C41" s="6"/>
    </row>
  </sheetData>
  <mergeCells count="1">
    <mergeCell ref="A1:C1"/>
  </mergeCells>
  <phoneticPr fontId="0" type="noConversion"/>
  <printOptions horizontalCentered="1"/>
  <pageMargins left="0.75" right="0.75" top="1" bottom="1" header="0.5" footer="0.5"/>
  <pageSetup scale="35" orientation="landscape" r:id="rId1"/>
  <headerFooter alignWithMargins="0"/>
  <colBreaks count="2" manualBreakCount="2">
    <brk id="10" max="32" man="1"/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P75"/>
  <sheetViews>
    <sheetView topLeftCell="A36" zoomScale="112" zoomScaleNormal="112" workbookViewId="0">
      <selection activeCell="B10" sqref="B10:I64"/>
    </sheetView>
  </sheetViews>
  <sheetFormatPr defaultColWidth="9.1796875" defaultRowHeight="14"/>
  <cols>
    <col min="1" max="1" width="1.81640625" style="78" customWidth="1"/>
    <col min="2" max="2" width="30.7265625" style="78" customWidth="1"/>
    <col min="3" max="3" width="11.54296875" style="79" customWidth="1"/>
    <col min="4" max="4" width="9" style="79" customWidth="1"/>
    <col min="5" max="5" width="12.26953125" style="78" bestFit="1" customWidth="1"/>
    <col min="6" max="6" width="11.54296875" style="78" customWidth="1"/>
    <col min="7" max="8" width="14.26953125" style="78" customWidth="1"/>
    <col min="9" max="9" width="3" style="78" customWidth="1"/>
    <col min="10" max="10" width="8" style="78" hidden="1" customWidth="1"/>
    <col min="11" max="11" width="10.81640625" style="133" hidden="1" customWidth="1"/>
    <col min="12" max="12" width="65" style="78" customWidth="1"/>
    <col min="13" max="15" width="9.1796875" style="78"/>
    <col min="16" max="16" width="11.1796875" style="78" bestFit="1" customWidth="1"/>
    <col min="17" max="16384" width="9.1796875" style="78"/>
  </cols>
  <sheetData>
    <row r="1" spans="2:16" s="80" customFormat="1" ht="16" thickBot="1">
      <c r="B1" s="500" t="s">
        <v>110</v>
      </c>
      <c r="C1" s="501"/>
      <c r="D1" s="501"/>
      <c r="E1" s="501"/>
      <c r="F1" s="501"/>
      <c r="G1" s="501"/>
      <c r="H1" s="501"/>
      <c r="I1" s="502"/>
      <c r="J1" s="502"/>
      <c r="K1" s="503"/>
    </row>
    <row r="2" spans="2:16" s="87" customFormat="1" ht="12.5">
      <c r="C2" s="79"/>
      <c r="D2" s="79"/>
      <c r="K2" s="135"/>
    </row>
    <row r="3" spans="2:16" s="87" customFormat="1" ht="13">
      <c r="B3" s="81"/>
      <c r="C3" s="82"/>
      <c r="D3" s="82"/>
      <c r="E3" s="83"/>
      <c r="F3" s="84"/>
      <c r="G3" s="85" t="s">
        <v>111</v>
      </c>
      <c r="H3" s="86"/>
      <c r="J3" s="13" t="s">
        <v>145</v>
      </c>
      <c r="K3" s="273" t="s">
        <v>147</v>
      </c>
      <c r="L3" s="12" t="s">
        <v>415</v>
      </c>
      <c r="M3" s="4"/>
    </row>
    <row r="4" spans="2:16" s="87" customFormat="1" ht="13.5" thickBot="1">
      <c r="B4" s="88" t="s">
        <v>356</v>
      </c>
      <c r="C4" s="89"/>
      <c r="D4" s="89"/>
      <c r="E4" s="90"/>
      <c r="F4" s="91"/>
      <c r="G4" s="92" t="s">
        <v>112</v>
      </c>
      <c r="H4" s="93" t="s">
        <v>53</v>
      </c>
      <c r="J4" s="13" t="s">
        <v>146</v>
      </c>
      <c r="K4" s="273" t="s">
        <v>148</v>
      </c>
    </row>
    <row r="5" spans="2:16" s="87" customFormat="1" ht="12.5">
      <c r="B5" s="84" t="s">
        <v>113</v>
      </c>
      <c r="C5" s="82"/>
      <c r="D5" s="82"/>
      <c r="E5" s="82"/>
      <c r="F5" s="82"/>
      <c r="G5" s="358">
        <v>0</v>
      </c>
      <c r="H5" s="94" t="e">
        <f t="shared" ref="H5:H13" si="0">G5/Units</f>
        <v>#DIV/0!</v>
      </c>
      <c r="J5" s="131">
        <v>1</v>
      </c>
      <c r="K5" s="274">
        <f t="shared" ref="K5:K13" si="1">J5*G5</f>
        <v>0</v>
      </c>
    </row>
    <row r="6" spans="2:16" s="87" customFormat="1" ht="12.5">
      <c r="B6" s="84" t="s">
        <v>114</v>
      </c>
      <c r="C6" s="82"/>
      <c r="D6" s="82"/>
      <c r="E6" s="82"/>
      <c r="F6" s="82"/>
      <c r="G6" s="358">
        <v>0</v>
      </c>
      <c r="H6" s="94" t="e">
        <f t="shared" si="0"/>
        <v>#DIV/0!</v>
      </c>
      <c r="J6" s="131">
        <v>1</v>
      </c>
      <c r="K6" s="274">
        <f t="shared" si="1"/>
        <v>0</v>
      </c>
      <c r="L6"/>
    </row>
    <row r="7" spans="2:16" s="87" customFormat="1" ht="12.5">
      <c r="B7" s="81" t="s">
        <v>136</v>
      </c>
      <c r="C7" s="82"/>
      <c r="D7" s="82"/>
      <c r="E7" s="96"/>
      <c r="F7" s="84"/>
      <c r="G7" s="358">
        <v>0</v>
      </c>
      <c r="H7" s="94" t="e">
        <f t="shared" si="0"/>
        <v>#DIV/0!</v>
      </c>
      <c r="J7" s="131">
        <v>1</v>
      </c>
      <c r="K7" s="274">
        <f t="shared" si="1"/>
        <v>0</v>
      </c>
    </row>
    <row r="8" spans="2:16" s="87" customFormat="1" ht="13">
      <c r="B8" t="s">
        <v>371</v>
      </c>
      <c r="C8" s="97"/>
      <c r="D8" s="82"/>
      <c r="E8" s="96"/>
      <c r="F8" s="95"/>
      <c r="G8" s="358">
        <v>0</v>
      </c>
      <c r="H8" s="94" t="e">
        <f t="shared" si="0"/>
        <v>#DIV/0!</v>
      </c>
      <c r="J8" s="131">
        <v>1</v>
      </c>
      <c r="K8" s="274">
        <f t="shared" si="1"/>
        <v>0</v>
      </c>
      <c r="L8" s="12"/>
    </row>
    <row r="9" spans="2:16" s="87" customFormat="1" ht="13">
      <c r="B9" s="81" t="s">
        <v>115</v>
      </c>
      <c r="C9" s="82"/>
      <c r="D9" s="82"/>
      <c r="E9" s="96"/>
      <c r="F9" s="95"/>
      <c r="G9" s="358">
        <v>0</v>
      </c>
      <c r="H9" s="94" t="e">
        <f t="shared" si="0"/>
        <v>#DIV/0!</v>
      </c>
      <c r="J9" s="131">
        <v>1</v>
      </c>
      <c r="K9" s="274">
        <f t="shared" si="1"/>
        <v>0</v>
      </c>
      <c r="L9" s="12"/>
    </row>
    <row r="10" spans="2:16" s="87" customFormat="1" ht="13">
      <c r="B10" s="81" t="s">
        <v>116</v>
      </c>
      <c r="C10" s="82"/>
      <c r="D10" s="82"/>
      <c r="E10" s="96"/>
      <c r="F10" s="95"/>
      <c r="G10" s="358">
        <v>0</v>
      </c>
      <c r="H10" s="94" t="e">
        <f t="shared" si="0"/>
        <v>#DIV/0!</v>
      </c>
      <c r="J10" s="131">
        <v>1</v>
      </c>
      <c r="K10" s="274">
        <f t="shared" si="1"/>
        <v>0</v>
      </c>
      <c r="L10" s="12"/>
    </row>
    <row r="11" spans="2:16" s="87" customFormat="1" ht="13">
      <c r="B11" s="81" t="s">
        <v>137</v>
      </c>
      <c r="C11" s="82"/>
      <c r="D11" s="82"/>
      <c r="E11" s="96"/>
      <c r="F11" s="95"/>
      <c r="G11" s="358">
        <v>0</v>
      </c>
      <c r="H11" s="94" t="e">
        <f t="shared" si="0"/>
        <v>#DIV/0!</v>
      </c>
      <c r="J11" s="131">
        <v>1</v>
      </c>
      <c r="K11" s="274">
        <f t="shared" si="1"/>
        <v>0</v>
      </c>
      <c r="L11" s="12"/>
    </row>
    <row r="12" spans="2:16" s="87" customFormat="1" ht="13">
      <c r="B12" s="81" t="s">
        <v>138</v>
      </c>
      <c r="C12" s="82"/>
      <c r="D12" s="82"/>
      <c r="E12" s="96"/>
      <c r="F12" s="95"/>
      <c r="G12" s="358">
        <v>0</v>
      </c>
      <c r="H12" s="94" t="e">
        <f t="shared" si="0"/>
        <v>#DIV/0!</v>
      </c>
      <c r="J12" s="131">
        <v>1</v>
      </c>
      <c r="K12" s="274">
        <f t="shared" si="1"/>
        <v>0</v>
      </c>
      <c r="L12" s="12"/>
    </row>
    <row r="13" spans="2:16" s="87" customFormat="1" ht="13.5" thickBot="1">
      <c r="B13" s="98" t="s">
        <v>19</v>
      </c>
      <c r="C13" s="99"/>
      <c r="D13" s="99"/>
      <c r="E13" s="100"/>
      <c r="F13" s="101"/>
      <c r="G13" s="406">
        <v>0</v>
      </c>
      <c r="H13" s="94" t="e">
        <f t="shared" si="0"/>
        <v>#DIV/0!</v>
      </c>
      <c r="J13" s="131">
        <v>1</v>
      </c>
      <c r="K13" s="274">
        <f t="shared" si="1"/>
        <v>0</v>
      </c>
    </row>
    <row r="14" spans="2:16" s="87" customFormat="1" ht="13">
      <c r="B14" s="81"/>
      <c r="C14" s="82"/>
      <c r="D14" s="102"/>
      <c r="E14" s="103"/>
      <c r="F14" s="103" t="s">
        <v>117</v>
      </c>
      <c r="G14" s="359">
        <f>SUM(G5:G13)</f>
        <v>0</v>
      </c>
      <c r="H14" s="104" t="e">
        <f>G14/Units</f>
        <v>#DIV/0!</v>
      </c>
      <c r="K14" s="274"/>
    </row>
    <row r="15" spans="2:16" s="87" customFormat="1" ht="13.5" thickBot="1">
      <c r="B15" s="88" t="s">
        <v>149</v>
      </c>
      <c r="C15" s="89"/>
      <c r="D15" s="89"/>
      <c r="E15" s="90"/>
      <c r="F15" s="91"/>
      <c r="G15" s="407"/>
      <c r="H15" s="105"/>
      <c r="K15" s="274"/>
      <c r="P15" s="379"/>
    </row>
    <row r="16" spans="2:16" s="87" customFormat="1" ht="13">
      <c r="B16" s="216" t="s">
        <v>61</v>
      </c>
      <c r="C16" s="106"/>
      <c r="D16" s="106"/>
      <c r="E16" s="106"/>
      <c r="F16" s="95"/>
      <c r="G16" s="408">
        <v>0</v>
      </c>
      <c r="H16" s="94" t="e">
        <f>G16/Units</f>
        <v>#DIV/0!</v>
      </c>
      <c r="J16" s="132">
        <v>0</v>
      </c>
      <c r="K16" s="274">
        <f>J16*G16</f>
        <v>0</v>
      </c>
      <c r="L16" s="12"/>
      <c r="P16" s="379"/>
    </row>
    <row r="17" spans="2:12" s="87" customFormat="1" ht="13">
      <c r="B17" s="386" t="s">
        <v>370</v>
      </c>
      <c r="C17" s="106"/>
      <c r="D17" s="106"/>
      <c r="E17" s="106"/>
      <c r="F17" s="95"/>
      <c r="G17" s="358">
        <v>0</v>
      </c>
      <c r="H17" s="94" t="e">
        <f>G17/Units</f>
        <v>#DIV/0!</v>
      </c>
      <c r="J17" s="136">
        <v>1</v>
      </c>
      <c r="K17" s="274">
        <f>J17*G17</f>
        <v>0</v>
      </c>
      <c r="L17"/>
    </row>
    <row r="18" spans="2:12" s="87" customFormat="1" ht="13.5" thickBot="1">
      <c r="B18" s="107" t="s">
        <v>118</v>
      </c>
      <c r="C18" s="89"/>
      <c r="D18" s="89"/>
      <c r="E18" s="108"/>
      <c r="F18" s="109"/>
      <c r="G18" s="406">
        <v>0</v>
      </c>
      <c r="H18" s="94" t="e">
        <f>G18/Units</f>
        <v>#DIV/0!</v>
      </c>
      <c r="J18" s="131">
        <v>0</v>
      </c>
      <c r="K18" s="274">
        <f>J18*G18</f>
        <v>0</v>
      </c>
      <c r="L18" s="12"/>
    </row>
    <row r="19" spans="2:12" s="87" customFormat="1" ht="13">
      <c r="B19" s="81"/>
      <c r="C19" s="82"/>
      <c r="D19" s="102"/>
      <c r="E19" s="103"/>
      <c r="F19" s="103" t="s">
        <v>119</v>
      </c>
      <c r="G19" s="359">
        <f>SUM(G16:G18)</f>
        <v>0</v>
      </c>
      <c r="H19" s="104" t="e">
        <f>G19/Units</f>
        <v>#DIV/0!</v>
      </c>
      <c r="K19" s="274"/>
    </row>
    <row r="20" spans="2:12" s="87" customFormat="1" ht="13.5" thickBot="1">
      <c r="B20" s="138" t="s">
        <v>120</v>
      </c>
      <c r="C20" s="89"/>
      <c r="D20" s="89"/>
      <c r="E20" s="90"/>
      <c r="F20" s="91"/>
      <c r="G20" s="409"/>
      <c r="H20" s="98"/>
      <c r="K20" s="274"/>
    </row>
    <row r="21" spans="2:12" s="12" customFormat="1" ht="13">
      <c r="B21" s="12" t="s">
        <v>373</v>
      </c>
      <c r="C21" s="159"/>
      <c r="D21" s="159"/>
      <c r="E21" s="159"/>
      <c r="F21" s="219"/>
      <c r="G21" s="358">
        <v>0</v>
      </c>
      <c r="H21" s="217" t="e">
        <f t="shared" ref="H21:H26" si="2">G21/Units</f>
        <v>#DIV/0!</v>
      </c>
      <c r="J21" s="218">
        <v>1</v>
      </c>
      <c r="K21" s="275">
        <f t="shared" ref="K21:K26" si="3">J21*G21</f>
        <v>0</v>
      </c>
    </row>
    <row r="22" spans="2:12" s="12" customFormat="1" ht="13">
      <c r="B22" s="12" t="s">
        <v>406</v>
      </c>
      <c r="C22" s="159"/>
      <c r="D22" s="159"/>
      <c r="E22" s="159"/>
      <c r="F22" s="219"/>
      <c r="G22" s="357">
        <v>0</v>
      </c>
      <c r="H22" s="221"/>
      <c r="J22" s="218"/>
      <c r="K22" s="275"/>
    </row>
    <row r="23" spans="2:12" s="12" customFormat="1" ht="13">
      <c r="B23" s="276" t="s">
        <v>293</v>
      </c>
      <c r="C23" s="159"/>
      <c r="D23" s="159"/>
      <c r="E23" s="220"/>
      <c r="F23" s="219"/>
      <c r="G23" s="356">
        <v>0</v>
      </c>
      <c r="H23" s="221" t="e">
        <f t="shared" si="2"/>
        <v>#DIV/0!</v>
      </c>
      <c r="J23" s="218">
        <v>1</v>
      </c>
      <c r="K23" s="275">
        <f t="shared" si="3"/>
        <v>0</v>
      </c>
    </row>
    <row r="24" spans="2:12" s="12" customFormat="1" ht="12.5">
      <c r="B24" s="12" t="s">
        <v>374</v>
      </c>
      <c r="C24" s="159"/>
      <c r="D24" s="159"/>
      <c r="E24" s="413"/>
      <c r="F24" s="159" t="s">
        <v>357</v>
      </c>
      <c r="G24" s="356">
        <v>0</v>
      </c>
      <c r="H24" s="217" t="e">
        <f>G24/Units</f>
        <v>#DIV/0!</v>
      </c>
      <c r="J24" s="218">
        <v>1</v>
      </c>
      <c r="K24" s="275">
        <f t="shared" si="3"/>
        <v>0</v>
      </c>
    </row>
    <row r="25" spans="2:12" s="12" customFormat="1" ht="12.5">
      <c r="B25" s="12" t="s">
        <v>404</v>
      </c>
      <c r="C25" s="159"/>
      <c r="D25" s="159"/>
      <c r="E25" s="413"/>
      <c r="F25" s="159"/>
      <c r="G25" s="394">
        <v>0</v>
      </c>
      <c r="H25" s="217"/>
      <c r="J25" s="218"/>
      <c r="K25" s="275"/>
    </row>
    <row r="26" spans="2:12" s="12" customFormat="1" ht="12.5">
      <c r="B26" s="216" t="s">
        <v>381</v>
      </c>
      <c r="C26" s="159"/>
      <c r="D26" s="159"/>
      <c r="E26" s="159"/>
      <c r="F26" s="159"/>
      <c r="G26" s="394">
        <v>0</v>
      </c>
      <c r="H26" s="217" t="e">
        <f t="shared" si="2"/>
        <v>#DIV/0!</v>
      </c>
      <c r="J26" s="218">
        <v>1</v>
      </c>
      <c r="K26" s="275">
        <f t="shared" si="3"/>
        <v>0</v>
      </c>
    </row>
    <row r="27" spans="2:12" s="12" customFormat="1" ht="12.5">
      <c r="B27" s="339" t="s">
        <v>135</v>
      </c>
      <c r="C27" s="159"/>
      <c r="D27" s="159"/>
      <c r="E27" s="159">
        <v>0.02</v>
      </c>
      <c r="F27" s="159" t="s">
        <v>403</v>
      </c>
      <c r="G27" s="410">
        <v>0</v>
      </c>
      <c r="H27" s="221"/>
      <c r="J27" s="218"/>
      <c r="K27" s="275"/>
    </row>
    <row r="28" spans="2:12" s="12" customFormat="1" ht="12.5">
      <c r="B28" s="339" t="s">
        <v>123</v>
      </c>
      <c r="C28" s="159"/>
      <c r="D28" s="159"/>
      <c r="E28" s="159">
        <v>0.03</v>
      </c>
      <c r="F28" s="159" t="s">
        <v>405</v>
      </c>
      <c r="G28" s="410">
        <v>0</v>
      </c>
      <c r="H28" s="221"/>
      <c r="J28" s="218"/>
      <c r="K28" s="275"/>
    </row>
    <row r="29" spans="2:12" s="12" customFormat="1" ht="12.5">
      <c r="B29" s="339" t="s">
        <v>358</v>
      </c>
      <c r="C29" s="159"/>
      <c r="D29" s="159"/>
      <c r="E29" s="159">
        <v>0.04</v>
      </c>
      <c r="F29" s="159" t="s">
        <v>403</v>
      </c>
      <c r="G29" s="410">
        <f>G27</f>
        <v>0</v>
      </c>
      <c r="H29" s="221"/>
      <c r="J29" s="218"/>
      <c r="K29" s="275"/>
    </row>
    <row r="30" spans="2:12" s="12" customFormat="1" ht="12.5">
      <c r="B30" s="339" t="s">
        <v>419</v>
      </c>
      <c r="C30" s="159"/>
      <c r="D30" s="159"/>
      <c r="E30" s="159"/>
      <c r="F30" s="159"/>
      <c r="G30" s="410">
        <v>0</v>
      </c>
      <c r="H30" s="221"/>
      <c r="J30" s="218"/>
      <c r="K30" s="275"/>
    </row>
    <row r="31" spans="2:12" s="12" customFormat="1" ht="13" thickBot="1">
      <c r="B31" s="340" t="s">
        <v>124</v>
      </c>
      <c r="C31" s="341"/>
      <c r="D31" s="341"/>
      <c r="E31" s="341">
        <v>0.04</v>
      </c>
      <c r="F31" s="341" t="s">
        <v>403</v>
      </c>
      <c r="G31" s="410">
        <v>0</v>
      </c>
      <c r="H31" s="221"/>
      <c r="J31" s="218"/>
      <c r="K31" s="275"/>
    </row>
    <row r="32" spans="2:12" s="87" customFormat="1" ht="13">
      <c r="B32" s="84"/>
      <c r="C32" s="110" t="e">
        <f>G32/SqFt</f>
        <v>#DIV/0!</v>
      </c>
      <c r="D32" s="82" t="s">
        <v>121</v>
      </c>
      <c r="E32" s="111"/>
      <c r="F32" s="103" t="s">
        <v>125</v>
      </c>
      <c r="G32" s="359">
        <f>SUM(G21:G31)</f>
        <v>0</v>
      </c>
      <c r="H32" s="104" t="e">
        <f>G32/Units</f>
        <v>#DIV/0!</v>
      </c>
      <c r="K32" s="274"/>
    </row>
    <row r="33" spans="2:14" s="87" customFormat="1" ht="13.5" thickBot="1">
      <c r="B33" s="138" t="s">
        <v>126</v>
      </c>
      <c r="C33" s="89"/>
      <c r="D33" s="89"/>
      <c r="E33" s="90"/>
      <c r="F33" s="91"/>
      <c r="G33" s="409"/>
      <c r="H33" s="98"/>
      <c r="K33" s="274"/>
      <c r="N33" s="151"/>
    </row>
    <row r="34" spans="2:14" s="87" customFormat="1" ht="12.5">
      <c r="B34" s="84" t="s">
        <v>348</v>
      </c>
      <c r="C34" s="82"/>
      <c r="D34" s="82"/>
      <c r="E34" s="96"/>
      <c r="F34" s="84"/>
      <c r="G34" s="357">
        <v>0</v>
      </c>
      <c r="H34" s="94" t="e">
        <f>G34/Units</f>
        <v>#DIV/0!</v>
      </c>
      <c r="J34" s="131">
        <v>1</v>
      </c>
      <c r="K34" s="274">
        <f>J34*G34</f>
        <v>0</v>
      </c>
    </row>
    <row r="35" spans="2:14" s="87" customFormat="1" ht="12.5">
      <c r="B35" t="s">
        <v>372</v>
      </c>
      <c r="C35" s="82"/>
      <c r="D35" s="82"/>
      <c r="E35" s="96"/>
      <c r="F35" s="84"/>
      <c r="G35" s="358">
        <v>0</v>
      </c>
      <c r="H35" s="94" t="e">
        <f>G35/Units</f>
        <v>#DIV/0!</v>
      </c>
      <c r="J35" s="131">
        <v>1</v>
      </c>
      <c r="K35" s="274">
        <f>J35*G35</f>
        <v>0</v>
      </c>
    </row>
    <row r="36" spans="2:14" s="87" customFormat="1" ht="12.5">
      <c r="B36" s="386" t="s">
        <v>382</v>
      </c>
      <c r="C36" s="82"/>
      <c r="D36" s="82"/>
      <c r="E36" s="96"/>
      <c r="F36" s="84"/>
      <c r="G36" s="358">
        <v>0</v>
      </c>
      <c r="H36" s="94" t="e">
        <f>G36/Units</f>
        <v>#DIV/0!</v>
      </c>
      <c r="J36" s="131">
        <v>1</v>
      </c>
      <c r="K36" s="274">
        <f>J36*G36</f>
        <v>0</v>
      </c>
      <c r="L36"/>
    </row>
    <row r="37" spans="2:14" s="87" customFormat="1" ht="13.5" thickBot="1">
      <c r="B37" s="386" t="s">
        <v>375</v>
      </c>
      <c r="C37" s="112"/>
      <c r="D37" s="82"/>
      <c r="E37" s="82"/>
      <c r="F37" s="82"/>
      <c r="G37" s="358">
        <v>0</v>
      </c>
      <c r="H37" s="94" t="e">
        <f>G37/Units</f>
        <v>#DIV/0!</v>
      </c>
      <c r="J37" s="132">
        <v>0</v>
      </c>
      <c r="K37" s="274">
        <f>J37*G37</f>
        <v>0</v>
      </c>
    </row>
    <row r="38" spans="2:14" s="87" customFormat="1" ht="13.5" thickTop="1">
      <c r="B38" s="113"/>
      <c r="C38" s="114"/>
      <c r="D38" s="114"/>
      <c r="E38" s="115"/>
      <c r="F38" s="116" t="s">
        <v>127</v>
      </c>
      <c r="G38" s="411">
        <f>SUM(G34:G37)</f>
        <v>0</v>
      </c>
      <c r="H38" s="104" t="e">
        <f>G38/Units</f>
        <v>#DIV/0!</v>
      </c>
      <c r="K38" s="274"/>
    </row>
    <row r="39" spans="2:14" s="87" customFormat="1" ht="13.5" thickBot="1">
      <c r="B39" s="138" t="s">
        <v>153</v>
      </c>
      <c r="C39" s="139"/>
      <c r="D39" s="89"/>
      <c r="E39" s="100"/>
      <c r="F39" s="91"/>
      <c r="G39" s="409"/>
      <c r="H39" s="98"/>
      <c r="K39" s="274"/>
    </row>
    <row r="40" spans="2:14" s="87" customFormat="1" ht="12.5">
      <c r="B40" s="84" t="s">
        <v>128</v>
      </c>
      <c r="C40" s="404"/>
      <c r="D40" s="82" t="s">
        <v>129</v>
      </c>
      <c r="E40" s="405">
        <v>0</v>
      </c>
      <c r="F40" s="84" t="s">
        <v>130</v>
      </c>
      <c r="G40" s="357">
        <f>C40*E40</f>
        <v>0</v>
      </c>
      <c r="H40" s="94" t="e">
        <f t="shared" ref="H40:H44" si="4">G40/Units</f>
        <v>#DIV/0!</v>
      </c>
      <c r="J40" s="131">
        <v>1</v>
      </c>
      <c r="K40" s="274">
        <f t="shared" ref="K40:K44" si="5">J40*G40</f>
        <v>0</v>
      </c>
      <c r="L40" s="12"/>
    </row>
    <row r="41" spans="2:14" s="87" customFormat="1" ht="13">
      <c r="B41" s="446" t="s">
        <v>376</v>
      </c>
      <c r="C41" s="112"/>
      <c r="D41" s="82"/>
      <c r="E41" s="96"/>
      <c r="F41" s="84"/>
      <c r="G41" s="358">
        <v>0</v>
      </c>
      <c r="H41" s="94" t="e">
        <f t="shared" si="4"/>
        <v>#DIV/0!</v>
      </c>
      <c r="J41" s="131">
        <v>1</v>
      </c>
      <c r="K41" s="274">
        <f t="shared" si="5"/>
        <v>0</v>
      </c>
    </row>
    <row r="42" spans="2:14" s="87" customFormat="1" ht="13">
      <c r="B42" s="446" t="s">
        <v>379</v>
      </c>
      <c r="C42" s="112"/>
      <c r="D42" s="82"/>
      <c r="E42" s="82"/>
      <c r="F42" s="84"/>
      <c r="G42" s="358">
        <v>0</v>
      </c>
      <c r="H42" s="94" t="e">
        <f t="shared" si="4"/>
        <v>#DIV/0!</v>
      </c>
      <c r="J42" s="131">
        <v>1</v>
      </c>
      <c r="K42" s="274">
        <f t="shared" si="5"/>
        <v>0</v>
      </c>
    </row>
    <row r="43" spans="2:14" s="87" customFormat="1" ht="12.5">
      <c r="B43" s="446" t="s">
        <v>377</v>
      </c>
      <c r="C43" s="117"/>
      <c r="D43" s="82"/>
      <c r="E43" s="96"/>
      <c r="F43" s="84"/>
      <c r="G43" s="358">
        <v>0</v>
      </c>
      <c r="H43" s="94" t="e">
        <f t="shared" si="4"/>
        <v>#DIV/0!</v>
      </c>
      <c r="J43" s="131">
        <v>1</v>
      </c>
      <c r="K43" s="274">
        <f t="shared" si="5"/>
        <v>0</v>
      </c>
      <c r="L43" s="12"/>
    </row>
    <row r="44" spans="2:14" s="87" customFormat="1" ht="13.5" thickBot="1">
      <c r="B44" s="446" t="s">
        <v>378</v>
      </c>
      <c r="C44" s="112" t="s">
        <v>420</v>
      </c>
      <c r="D44" s="449" t="s">
        <v>421</v>
      </c>
      <c r="E44" s="82"/>
      <c r="F44" s="159" t="s">
        <v>422</v>
      </c>
      <c r="G44" s="358">
        <v>0</v>
      </c>
      <c r="H44" s="94" t="e">
        <f t="shared" si="4"/>
        <v>#DIV/0!</v>
      </c>
      <c r="J44" s="131">
        <v>1</v>
      </c>
      <c r="K44" s="274">
        <f t="shared" si="5"/>
        <v>0</v>
      </c>
    </row>
    <row r="45" spans="2:14" s="87" customFormat="1" ht="13">
      <c r="B45" s="447"/>
      <c r="C45" s="118"/>
      <c r="D45" s="118"/>
      <c r="E45" s="119"/>
      <c r="F45" s="120" t="s">
        <v>131</v>
      </c>
      <c r="G45" s="412">
        <f>SUM(G40:G44)</f>
        <v>0</v>
      </c>
      <c r="H45" s="104" t="e">
        <f>G45/Units</f>
        <v>#DIV/0!</v>
      </c>
      <c r="K45" s="274"/>
    </row>
    <row r="46" spans="2:14" s="87" customFormat="1" ht="13.5" thickBot="1">
      <c r="B46" s="138" t="s">
        <v>139</v>
      </c>
      <c r="C46" s="139"/>
      <c r="D46" s="89"/>
      <c r="E46" s="100"/>
      <c r="F46" s="91"/>
      <c r="G46" s="409"/>
      <c r="H46" s="98"/>
      <c r="K46" s="274"/>
    </row>
    <row r="47" spans="2:14" s="87" customFormat="1" ht="13">
      <c r="B47" s="446" t="s">
        <v>380</v>
      </c>
      <c r="C47" s="112"/>
      <c r="D47" s="82"/>
      <c r="E47" s="82"/>
      <c r="F47" s="82"/>
      <c r="G47" s="358">
        <v>0</v>
      </c>
      <c r="H47" s="94" t="e">
        <f t="shared" ref="H47:H51" si="6">G47/Units</f>
        <v>#DIV/0!</v>
      </c>
      <c r="J47" s="132">
        <v>0</v>
      </c>
      <c r="K47" s="274">
        <f>J47*G47</f>
        <v>0</v>
      </c>
    </row>
    <row r="48" spans="2:14" s="87" customFormat="1" ht="13">
      <c r="B48" s="81" t="s">
        <v>140</v>
      </c>
      <c r="C48" s="112"/>
      <c r="D48" s="82"/>
      <c r="E48" s="96"/>
      <c r="F48" s="84"/>
      <c r="G48" s="358">
        <v>0</v>
      </c>
      <c r="H48" s="94" t="e">
        <f t="shared" si="6"/>
        <v>#DIV/0!</v>
      </c>
      <c r="J48" s="132">
        <v>0</v>
      </c>
      <c r="K48" s="274">
        <f>J48*G48</f>
        <v>0</v>
      </c>
      <c r="L48" s="12"/>
    </row>
    <row r="49" spans="2:15" s="87" customFormat="1" ht="13">
      <c r="B49" s="81" t="s">
        <v>141</v>
      </c>
      <c r="C49" s="112"/>
      <c r="D49" s="82"/>
      <c r="E49" s="82"/>
      <c r="F49" s="84"/>
      <c r="G49" s="358">
        <v>0</v>
      </c>
      <c r="H49" s="94" t="e">
        <f t="shared" si="6"/>
        <v>#DIV/0!</v>
      </c>
      <c r="J49" s="132">
        <v>0</v>
      </c>
      <c r="K49" s="274">
        <f>J49*G49</f>
        <v>0</v>
      </c>
      <c r="L49" s="12"/>
    </row>
    <row r="50" spans="2:15" s="87" customFormat="1" ht="13" thickBot="1">
      <c r="B50" s="81" t="s">
        <v>19</v>
      </c>
      <c r="C50" s="117"/>
      <c r="D50" s="82"/>
      <c r="E50" s="96"/>
      <c r="F50" s="84"/>
      <c r="G50" s="358"/>
      <c r="H50" s="94" t="e">
        <f t="shared" si="6"/>
        <v>#DIV/0!</v>
      </c>
      <c r="J50" s="132">
        <v>0</v>
      </c>
      <c r="K50" s="274">
        <f>J50*G50</f>
        <v>0</v>
      </c>
    </row>
    <row r="51" spans="2:15" s="87" customFormat="1" ht="13">
      <c r="B51" s="447"/>
      <c r="C51" s="118"/>
      <c r="D51" s="118"/>
      <c r="E51" s="119"/>
      <c r="F51" s="120" t="s">
        <v>142</v>
      </c>
      <c r="G51" s="412">
        <v>0</v>
      </c>
      <c r="H51" s="104" t="e">
        <f t="shared" si="6"/>
        <v>#DIV/0!</v>
      </c>
      <c r="K51" s="274"/>
    </row>
    <row r="52" spans="2:15" s="87" customFormat="1" ht="13.5" thickBot="1">
      <c r="B52" s="138" t="s">
        <v>143</v>
      </c>
      <c r="C52" s="139"/>
      <c r="D52" s="89"/>
      <c r="E52" s="100"/>
      <c r="F52" s="91"/>
      <c r="G52" s="409"/>
      <c r="H52" s="98"/>
      <c r="K52" s="274"/>
    </row>
    <row r="53" spans="2:15" s="87" customFormat="1" ht="12.5">
      <c r="B53" s="81" t="s">
        <v>65</v>
      </c>
      <c r="C53" s="82" t="s">
        <v>360</v>
      </c>
      <c r="D53" s="82"/>
      <c r="E53" s="82">
        <v>0</v>
      </c>
      <c r="F53" s="82" t="s">
        <v>359</v>
      </c>
      <c r="G53" s="357"/>
      <c r="H53" s="94" t="e">
        <f t="shared" ref="H53:H57" si="7">G53/Units</f>
        <v>#DIV/0!</v>
      </c>
      <c r="J53" s="132">
        <v>0</v>
      </c>
      <c r="K53" s="274">
        <f>J53*G53</f>
        <v>0</v>
      </c>
      <c r="L53" s="12"/>
    </row>
    <row r="54" spans="2:15" s="87" customFormat="1" ht="13">
      <c r="B54" s="446" t="s">
        <v>361</v>
      </c>
      <c r="C54" s="112"/>
      <c r="D54" s="82"/>
      <c r="E54" s="82"/>
      <c r="F54" s="82"/>
      <c r="G54" s="358">
        <v>0</v>
      </c>
      <c r="H54" s="94" t="e">
        <f t="shared" si="7"/>
        <v>#DIV/0!</v>
      </c>
      <c r="J54" s="132">
        <v>0</v>
      </c>
      <c r="K54" s="274">
        <f>J54*G54</f>
        <v>0</v>
      </c>
    </row>
    <row r="55" spans="2:15" s="87" customFormat="1" ht="13">
      <c r="B55" s="446" t="s">
        <v>364</v>
      </c>
      <c r="C55" s="112"/>
      <c r="D55" s="82"/>
      <c r="E55" s="96"/>
      <c r="F55" s="84"/>
      <c r="G55" s="358">
        <v>0</v>
      </c>
      <c r="H55" s="94" t="e">
        <f t="shared" si="7"/>
        <v>#DIV/0!</v>
      </c>
      <c r="J55" s="132">
        <v>0</v>
      </c>
      <c r="K55" s="274">
        <f>J55*G55</f>
        <v>0</v>
      </c>
      <c r="L55" s="12"/>
    </row>
    <row r="56" spans="2:15" s="87" customFormat="1" ht="13" thickBot="1">
      <c r="B56" s="446" t="s">
        <v>383</v>
      </c>
      <c r="C56" s="159" t="s">
        <v>229</v>
      </c>
      <c r="D56" s="82"/>
      <c r="E56" s="82"/>
      <c r="F56" s="84"/>
      <c r="G56" s="358"/>
      <c r="H56" s="94" t="e">
        <f t="shared" si="7"/>
        <v>#DIV/0!</v>
      </c>
      <c r="J56" s="132">
        <v>0</v>
      </c>
      <c r="K56" s="274">
        <f>J56*G56</f>
        <v>0</v>
      </c>
      <c r="L56" s="12"/>
      <c r="O56"/>
    </row>
    <row r="57" spans="2:15" s="87" customFormat="1" ht="13">
      <c r="B57" s="447"/>
      <c r="C57" s="118"/>
      <c r="D57" s="118"/>
      <c r="E57" s="119"/>
      <c r="F57" s="120" t="s">
        <v>144</v>
      </c>
      <c r="G57" s="412">
        <f>SUM(G53:G56)</f>
        <v>0</v>
      </c>
      <c r="H57" s="104" t="e">
        <f t="shared" si="7"/>
        <v>#DIV/0!</v>
      </c>
      <c r="K57" s="274"/>
    </row>
    <row r="58" spans="2:15" s="87" customFormat="1" ht="13">
      <c r="B58" s="81"/>
      <c r="C58" s="82"/>
      <c r="D58" s="82"/>
      <c r="E58" s="121"/>
      <c r="F58" s="103"/>
      <c r="G58" s="407"/>
      <c r="H58" s="103"/>
      <c r="K58" s="274"/>
    </row>
    <row r="59" spans="2:15" s="87" customFormat="1" ht="13">
      <c r="B59" s="122"/>
      <c r="C59" s="112"/>
      <c r="D59" s="112"/>
      <c r="E59" s="123"/>
      <c r="F59" s="84"/>
      <c r="G59" s="124"/>
      <c r="H59" s="124"/>
      <c r="K59" s="274"/>
    </row>
    <row r="60" spans="2:15" s="87" customFormat="1" ht="13">
      <c r="B60" s="122"/>
      <c r="C60" s="112"/>
      <c r="D60" s="112"/>
      <c r="E60" s="103" t="s">
        <v>240</v>
      </c>
      <c r="F60" s="137">
        <v>0</v>
      </c>
      <c r="G60" s="359"/>
      <c r="H60" s="124"/>
      <c r="K60" s="274"/>
    </row>
    <row r="61" spans="2:15" s="87" customFormat="1" ht="13">
      <c r="B61" s="125" t="s">
        <v>132</v>
      </c>
      <c r="C61" s="424">
        <v>0.05</v>
      </c>
      <c r="D61" s="126" t="s">
        <v>133</v>
      </c>
      <c r="E61" s="83"/>
      <c r="F61" s="81"/>
      <c r="G61" s="360">
        <v>0</v>
      </c>
      <c r="H61" s="94" t="e">
        <f>G61/Units</f>
        <v>#DIV/0!</v>
      </c>
      <c r="J61" s="131">
        <v>1</v>
      </c>
      <c r="K61" s="274">
        <f>J61*G61</f>
        <v>0</v>
      </c>
    </row>
    <row r="62" spans="2:15" s="87" customFormat="1" ht="13" thickBot="1">
      <c r="B62" s="81"/>
      <c r="C62" s="82"/>
      <c r="D62" s="82"/>
      <c r="E62" s="83"/>
      <c r="F62" s="81"/>
      <c r="G62" s="357"/>
      <c r="H62" s="127"/>
      <c r="K62" s="274"/>
    </row>
    <row r="63" spans="2:15" s="87" customFormat="1" ht="13.5" thickTop="1">
      <c r="B63" s="128" t="s">
        <v>134</v>
      </c>
      <c r="C63" s="129"/>
      <c r="D63" s="129"/>
      <c r="E63" s="130"/>
      <c r="F63" s="147"/>
      <c r="G63" s="411">
        <f>G14+G19+G32+G38+G45+G51+G57+G61</f>
        <v>0</v>
      </c>
      <c r="H63" s="154" t="e">
        <f>G63/Units</f>
        <v>#DIV/0!</v>
      </c>
      <c r="K63" s="274">
        <f>SUM(K5:K61)</f>
        <v>0</v>
      </c>
    </row>
    <row r="64" spans="2:15" s="87" customFormat="1" ht="12.5">
      <c r="B64" s="81"/>
      <c r="C64" s="82"/>
      <c r="D64" s="82"/>
      <c r="E64" s="83"/>
      <c r="F64" s="81"/>
      <c r="G64" s="81"/>
      <c r="H64" s="81"/>
      <c r="K64" s="135"/>
    </row>
    <row r="65" spans="3:11" s="87" customFormat="1" ht="12.5">
      <c r="C65" s="79"/>
      <c r="D65" s="79"/>
      <c r="K65" s="135"/>
    </row>
    <row r="66" spans="3:11" s="87" customFormat="1" ht="12.5">
      <c r="C66" s="79"/>
      <c r="D66" s="79"/>
      <c r="K66" s="135"/>
    </row>
    <row r="67" spans="3:11" s="87" customFormat="1" ht="12.5">
      <c r="C67" s="79"/>
      <c r="D67" s="79"/>
      <c r="G67" s="150"/>
      <c r="K67" s="135"/>
    </row>
    <row r="68" spans="3:11" s="87" customFormat="1" ht="12.5">
      <c r="C68" s="79"/>
      <c r="D68" s="79"/>
      <c r="G68" s="150"/>
      <c r="K68" s="135"/>
    </row>
    <row r="69" spans="3:11" s="87" customFormat="1" ht="12.5">
      <c r="C69" s="79"/>
      <c r="D69" s="79"/>
      <c r="G69" s="150"/>
      <c r="K69" s="135"/>
    </row>
    <row r="70" spans="3:11" s="87" customFormat="1" ht="12.5">
      <c r="C70" s="79"/>
      <c r="D70" s="79"/>
      <c r="K70" s="135"/>
    </row>
    <row r="71" spans="3:11" s="87" customFormat="1" ht="12.5">
      <c r="C71" s="79"/>
      <c r="D71" s="79"/>
      <c r="K71" s="135"/>
    </row>
    <row r="72" spans="3:11" s="87" customFormat="1" ht="12.5">
      <c r="C72" s="79"/>
      <c r="D72" s="79"/>
      <c r="K72" s="135"/>
    </row>
    <row r="73" spans="3:11" s="87" customFormat="1" ht="12.5">
      <c r="C73" s="79"/>
      <c r="D73" s="79"/>
      <c r="K73" s="135"/>
    </row>
    <row r="74" spans="3:11" s="87" customFormat="1" ht="12.5">
      <c r="C74" s="79"/>
      <c r="D74" s="79"/>
      <c r="K74" s="135"/>
    </row>
    <row r="75" spans="3:11" s="87" customFormat="1" ht="12.5">
      <c r="C75" s="79"/>
      <c r="D75" s="79"/>
      <c r="K75" s="135"/>
    </row>
  </sheetData>
  <mergeCells count="1">
    <mergeCell ref="B1:K1"/>
  </mergeCells>
  <phoneticPr fontId="0" type="noConversion"/>
  <printOptions horizontalCentered="1"/>
  <pageMargins left="0.75" right="0.75" top="1" bottom="1" header="0.5" footer="0.5"/>
  <pageSetup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0"/>
  <sheetViews>
    <sheetView topLeftCell="N1" zoomScale="120" zoomScaleNormal="120" workbookViewId="0">
      <selection activeCell="Y36" sqref="Y36"/>
    </sheetView>
  </sheetViews>
  <sheetFormatPr defaultRowHeight="12.5"/>
  <cols>
    <col min="1" max="1" width="43.81640625" bestFit="1" customWidth="1"/>
    <col min="2" max="2" width="20.26953125" customWidth="1"/>
    <col min="3" max="3" width="9.7265625" customWidth="1"/>
    <col min="4" max="4" width="8.81640625" customWidth="1"/>
    <col min="5" max="5" width="8.453125" customWidth="1"/>
    <col min="6" max="6" width="12.1796875" bestFit="1" customWidth="1"/>
    <col min="7" max="7" width="13.453125" customWidth="1"/>
    <col min="9" max="9" width="15.26953125" bestFit="1" customWidth="1"/>
    <col min="10" max="10" width="33.1796875" bestFit="1" customWidth="1"/>
    <col min="11" max="11" width="2" bestFit="1" customWidth="1"/>
    <col min="12" max="12" width="14.26953125" bestFit="1" customWidth="1"/>
    <col min="13" max="13" width="8.7265625" customWidth="1"/>
    <col min="14" max="14" width="11.1796875" bestFit="1" customWidth="1"/>
  </cols>
  <sheetData>
    <row r="1" spans="1:8" ht="23">
      <c r="A1" s="488" t="s">
        <v>242</v>
      </c>
      <c r="B1" s="489"/>
      <c r="C1" s="489"/>
      <c r="D1" s="489"/>
      <c r="E1" s="489"/>
      <c r="F1" s="489"/>
      <c r="G1" s="490"/>
      <c r="H1" s="166"/>
    </row>
    <row r="2" spans="1:8" ht="42" customHeight="1" thickBot="1">
      <c r="A2" s="167" t="s">
        <v>243</v>
      </c>
      <c r="B2" s="168" t="s">
        <v>244</v>
      </c>
      <c r="C2" s="168" t="s">
        <v>245</v>
      </c>
      <c r="D2" s="168" t="s">
        <v>246</v>
      </c>
      <c r="E2" s="168" t="s">
        <v>247</v>
      </c>
      <c r="F2" s="169" t="s">
        <v>248</v>
      </c>
      <c r="G2" s="169" t="s">
        <v>249</v>
      </c>
    </row>
    <row r="3" spans="1:8">
      <c r="A3" s="170" t="s">
        <v>250</v>
      </c>
      <c r="B3" s="171"/>
      <c r="C3" s="171"/>
      <c r="D3" s="172"/>
      <c r="E3" s="173"/>
      <c r="F3" s="174"/>
      <c r="G3" s="175">
        <f>(C3+D3+E3)*F3</f>
        <v>0</v>
      </c>
    </row>
    <row r="4" spans="1:8">
      <c r="A4" s="176" t="s">
        <v>251</v>
      </c>
      <c r="B4" s="177"/>
      <c r="C4" s="177"/>
      <c r="D4" s="178"/>
      <c r="E4" s="179"/>
      <c r="F4" s="180"/>
      <c r="G4" s="175">
        <f t="shared" ref="G4:G27" si="0">(C4+D4+E4)*F4</f>
        <v>0</v>
      </c>
    </row>
    <row r="5" spans="1:8">
      <c r="A5" s="176" t="s">
        <v>252</v>
      </c>
      <c r="B5" s="177"/>
      <c r="C5" s="177"/>
      <c r="D5" s="178"/>
      <c r="E5" s="179"/>
      <c r="F5" s="180"/>
      <c r="G5" s="175">
        <f t="shared" si="0"/>
        <v>0</v>
      </c>
    </row>
    <row r="6" spans="1:8">
      <c r="A6" s="176" t="s">
        <v>241</v>
      </c>
      <c r="B6" s="177"/>
      <c r="C6" s="177"/>
      <c r="D6" s="178"/>
      <c r="E6" s="179"/>
      <c r="F6" s="180"/>
      <c r="G6" s="175">
        <f t="shared" si="0"/>
        <v>0</v>
      </c>
    </row>
    <row r="7" spans="1:8">
      <c r="A7" s="176" t="s">
        <v>201</v>
      </c>
      <c r="B7" s="177"/>
      <c r="C7" s="177"/>
      <c r="D7" s="178"/>
      <c r="E7" s="179"/>
      <c r="F7" s="180"/>
      <c r="G7" s="175">
        <f>(C7+D7+E7)*F7</f>
        <v>0</v>
      </c>
    </row>
    <row r="8" spans="1:8" ht="13">
      <c r="A8" s="176" t="s">
        <v>253</v>
      </c>
      <c r="B8" s="181"/>
      <c r="C8" s="182"/>
      <c r="D8" s="183"/>
      <c r="E8" s="184"/>
      <c r="F8" s="185"/>
      <c r="G8" s="186">
        <f>(C8+D8+E8)*F8</f>
        <v>0</v>
      </c>
    </row>
    <row r="9" spans="1:8">
      <c r="A9" s="176" t="s">
        <v>254</v>
      </c>
      <c r="B9" s="177"/>
      <c r="C9" s="177"/>
      <c r="D9" s="178"/>
      <c r="E9" s="179"/>
      <c r="F9" s="180"/>
      <c r="G9" s="175">
        <f t="shared" si="0"/>
        <v>0</v>
      </c>
    </row>
    <row r="10" spans="1:8">
      <c r="A10" s="187" t="s">
        <v>255</v>
      </c>
      <c r="B10" s="177"/>
      <c r="C10" s="177"/>
      <c r="D10" s="178"/>
      <c r="E10" s="179"/>
      <c r="F10" s="180"/>
      <c r="G10" s="175">
        <f t="shared" si="0"/>
        <v>0</v>
      </c>
    </row>
    <row r="11" spans="1:8">
      <c r="A11" s="176" t="s">
        <v>256</v>
      </c>
      <c r="B11" s="177"/>
      <c r="C11" s="177"/>
      <c r="D11" s="178"/>
      <c r="E11" s="179"/>
      <c r="F11" s="180"/>
      <c r="G11" s="175">
        <f t="shared" si="0"/>
        <v>0</v>
      </c>
    </row>
    <row r="12" spans="1:8">
      <c r="A12" s="176" t="s">
        <v>210</v>
      </c>
      <c r="B12" s="177"/>
      <c r="C12" s="177"/>
      <c r="D12" s="178"/>
      <c r="E12" s="179"/>
      <c r="F12" s="180"/>
      <c r="G12" s="175">
        <f t="shared" si="0"/>
        <v>0</v>
      </c>
    </row>
    <row r="13" spans="1:8">
      <c r="A13" s="176" t="s">
        <v>350</v>
      </c>
      <c r="B13" s="177"/>
      <c r="C13" s="177"/>
      <c r="D13" s="178"/>
      <c r="E13" s="179"/>
      <c r="F13" s="180"/>
      <c r="G13" s="175">
        <f>(C13+D13+E13)*F13</f>
        <v>0</v>
      </c>
    </row>
    <row r="14" spans="1:8">
      <c r="A14" s="176" t="s">
        <v>257</v>
      </c>
      <c r="B14" s="177"/>
      <c r="C14" s="177"/>
      <c r="D14" s="178"/>
      <c r="E14" s="179"/>
      <c r="F14" s="180"/>
      <c r="G14" s="175">
        <f t="shared" si="0"/>
        <v>0</v>
      </c>
    </row>
    <row r="15" spans="1:8">
      <c r="A15" s="176" t="s">
        <v>258</v>
      </c>
      <c r="B15" s="177"/>
      <c r="C15" s="177"/>
      <c r="D15" s="178"/>
      <c r="E15" s="179"/>
      <c r="F15" s="180"/>
      <c r="G15" s="175">
        <f t="shared" si="0"/>
        <v>0</v>
      </c>
    </row>
    <row r="16" spans="1:8">
      <c r="A16" s="176" t="s">
        <v>259</v>
      </c>
      <c r="B16" s="177"/>
      <c r="C16" s="177"/>
      <c r="D16" s="178"/>
      <c r="E16" s="179"/>
      <c r="F16" s="180"/>
      <c r="G16" s="175">
        <f t="shared" si="0"/>
        <v>0</v>
      </c>
    </row>
    <row r="17" spans="1:7">
      <c r="A17" s="176" t="s">
        <v>260</v>
      </c>
      <c r="B17" s="177"/>
      <c r="C17" s="177"/>
      <c r="D17" s="178"/>
      <c r="E17" s="179"/>
      <c r="F17" s="180"/>
      <c r="G17" s="175">
        <f t="shared" si="0"/>
        <v>0</v>
      </c>
    </row>
    <row r="18" spans="1:7">
      <c r="A18" s="176" t="s">
        <v>261</v>
      </c>
      <c r="B18" s="177"/>
      <c r="C18" s="177"/>
      <c r="D18" s="178"/>
      <c r="E18" s="179"/>
      <c r="F18" s="180"/>
      <c r="G18" s="175">
        <f t="shared" si="0"/>
        <v>0</v>
      </c>
    </row>
    <row r="19" spans="1:7">
      <c r="A19" s="176" t="s">
        <v>262</v>
      </c>
      <c r="B19" s="177"/>
      <c r="C19" s="177"/>
      <c r="D19" s="178"/>
      <c r="E19" s="179"/>
      <c r="F19" s="180"/>
      <c r="G19" s="175">
        <f t="shared" si="0"/>
        <v>0</v>
      </c>
    </row>
    <row r="20" spans="1:7">
      <c r="A20" s="176" t="s">
        <v>263</v>
      </c>
      <c r="B20" s="177"/>
      <c r="C20" s="177"/>
      <c r="D20" s="178"/>
      <c r="E20" s="179"/>
      <c r="F20" s="180"/>
      <c r="G20" s="175">
        <f t="shared" si="0"/>
        <v>0</v>
      </c>
    </row>
    <row r="21" spans="1:7" ht="13">
      <c r="A21" s="188" t="s">
        <v>264</v>
      </c>
      <c r="B21" s="491" t="s">
        <v>351</v>
      </c>
      <c r="C21" s="492"/>
      <c r="D21" s="492"/>
      <c r="E21" s="492"/>
      <c r="F21" s="493"/>
      <c r="G21" s="175">
        <f>F41</f>
        <v>0</v>
      </c>
    </row>
    <row r="22" spans="1:7" ht="13">
      <c r="A22" s="188" t="s">
        <v>265</v>
      </c>
      <c r="B22" s="491" t="s">
        <v>351</v>
      </c>
      <c r="C22" s="492"/>
      <c r="D22" s="492"/>
      <c r="E22" s="492"/>
      <c r="F22" s="493"/>
      <c r="G22" s="175">
        <f>F50</f>
        <v>0</v>
      </c>
    </row>
    <row r="23" spans="1:7">
      <c r="A23" s="176" t="s">
        <v>266</v>
      </c>
      <c r="B23" s="189"/>
      <c r="C23" s="177"/>
      <c r="D23" s="178"/>
      <c r="E23" s="179"/>
      <c r="F23" s="180"/>
      <c r="G23" s="175">
        <f t="shared" si="0"/>
        <v>0</v>
      </c>
    </row>
    <row r="24" spans="1:7">
      <c r="A24" s="176" t="s">
        <v>267</v>
      </c>
      <c r="B24" s="177"/>
      <c r="C24" s="177"/>
      <c r="D24" s="178"/>
      <c r="E24" s="179"/>
      <c r="F24" s="180"/>
      <c r="G24" s="175">
        <f t="shared" si="0"/>
        <v>0</v>
      </c>
    </row>
    <row r="25" spans="1:7">
      <c r="A25" s="176" t="s">
        <v>268</v>
      </c>
      <c r="B25" s="177"/>
      <c r="C25" s="177"/>
      <c r="D25" s="178"/>
      <c r="E25" s="179"/>
      <c r="F25" s="180"/>
      <c r="G25" s="175">
        <f t="shared" si="0"/>
        <v>0</v>
      </c>
    </row>
    <row r="26" spans="1:7">
      <c r="A26" s="190" t="s">
        <v>269</v>
      </c>
      <c r="B26" s="191"/>
      <c r="C26" s="191"/>
      <c r="D26" s="192"/>
      <c r="E26" s="193"/>
      <c r="F26" s="194"/>
      <c r="G26" s="175">
        <f t="shared" si="0"/>
        <v>0</v>
      </c>
    </row>
    <row r="27" spans="1:7" ht="13" thickBot="1">
      <c r="A27" s="195" t="s">
        <v>42</v>
      </c>
      <c r="B27" s="196"/>
      <c r="C27" s="196"/>
      <c r="D27" s="197"/>
      <c r="E27" s="198"/>
      <c r="F27" s="199"/>
      <c r="G27" s="200">
        <f t="shared" si="0"/>
        <v>0</v>
      </c>
    </row>
    <row r="28" spans="1:7" s="205" customFormat="1" ht="20.25" customHeight="1">
      <c r="A28" s="201" t="s">
        <v>270</v>
      </c>
      <c r="B28" s="494" t="s">
        <v>271</v>
      </c>
      <c r="C28" s="494"/>
      <c r="D28" s="202" t="e">
        <f>G28/SqFt</f>
        <v>#DIV/0!</v>
      </c>
      <c r="E28" s="203"/>
      <c r="F28" s="203"/>
      <c r="G28" s="204">
        <f>SUM(G3:G27)</f>
        <v>0</v>
      </c>
    </row>
    <row r="29" spans="1:7" ht="15.75" customHeight="1"/>
    <row r="30" spans="1:7" ht="17" thickBot="1">
      <c r="A30" s="481" t="s">
        <v>272</v>
      </c>
      <c r="B30" s="481"/>
      <c r="C30" s="206" t="s">
        <v>273</v>
      </c>
      <c r="D30" s="482" t="s">
        <v>274</v>
      </c>
      <c r="E30" s="482"/>
      <c r="F30" s="483" t="s">
        <v>275</v>
      </c>
      <c r="G30" s="483"/>
    </row>
    <row r="31" spans="1:7" ht="14">
      <c r="A31" s="479" t="s">
        <v>347</v>
      </c>
      <c r="B31" s="480"/>
      <c r="C31" s="209"/>
      <c r="D31" s="486"/>
      <c r="E31" s="486"/>
      <c r="F31" s="487">
        <f t="shared" ref="F31:F40" si="1">+C31*D31</f>
        <v>0</v>
      </c>
      <c r="G31" s="487"/>
    </row>
    <row r="32" spans="1:7" ht="14">
      <c r="A32" s="479" t="s">
        <v>276</v>
      </c>
      <c r="B32" s="480"/>
      <c r="C32" s="209"/>
      <c r="D32" s="477"/>
      <c r="E32" s="477"/>
      <c r="F32" s="478">
        <f t="shared" si="1"/>
        <v>0</v>
      </c>
      <c r="G32" s="478"/>
    </row>
    <row r="33" spans="1:7" ht="14">
      <c r="A33" s="479" t="s">
        <v>346</v>
      </c>
      <c r="B33" s="480"/>
      <c r="C33" s="209"/>
      <c r="D33" s="477"/>
      <c r="E33" s="477"/>
      <c r="F33" s="478">
        <f t="shared" si="1"/>
        <v>0</v>
      </c>
      <c r="G33" s="478"/>
    </row>
    <row r="34" spans="1:7" ht="14">
      <c r="A34" s="479" t="s">
        <v>277</v>
      </c>
      <c r="B34" s="480"/>
      <c r="C34" s="209"/>
      <c r="D34" s="477"/>
      <c r="E34" s="477"/>
      <c r="F34" s="478">
        <f t="shared" si="1"/>
        <v>0</v>
      </c>
      <c r="G34" s="478"/>
    </row>
    <row r="35" spans="1:7" ht="14">
      <c r="A35" s="479" t="s">
        <v>278</v>
      </c>
      <c r="B35" s="480"/>
      <c r="C35" s="209"/>
      <c r="D35" s="477"/>
      <c r="E35" s="477"/>
      <c r="F35" s="478">
        <f t="shared" si="1"/>
        <v>0</v>
      </c>
      <c r="G35" s="478"/>
    </row>
    <row r="36" spans="1:7" ht="14">
      <c r="A36" s="479" t="s">
        <v>279</v>
      </c>
      <c r="B36" s="480"/>
      <c r="C36" s="209"/>
      <c r="D36" s="477"/>
      <c r="E36" s="477"/>
      <c r="F36" s="478">
        <f t="shared" si="1"/>
        <v>0</v>
      </c>
      <c r="G36" s="478"/>
    </row>
    <row r="37" spans="1:7" ht="14">
      <c r="A37" s="479" t="s">
        <v>280</v>
      </c>
      <c r="B37" s="480"/>
      <c r="C37" s="209"/>
      <c r="D37" s="477"/>
      <c r="E37" s="477"/>
      <c r="F37" s="478">
        <f t="shared" si="1"/>
        <v>0</v>
      </c>
      <c r="G37" s="478"/>
    </row>
    <row r="38" spans="1:7" ht="14">
      <c r="A38" s="479" t="s">
        <v>281</v>
      </c>
      <c r="B38" s="480"/>
      <c r="C38" s="209"/>
      <c r="D38" s="477"/>
      <c r="E38" s="477"/>
      <c r="F38" s="478">
        <f t="shared" si="1"/>
        <v>0</v>
      </c>
      <c r="G38" s="478"/>
    </row>
    <row r="39" spans="1:7" ht="14">
      <c r="A39" s="479" t="s">
        <v>282</v>
      </c>
      <c r="B39" s="480"/>
      <c r="C39" s="209"/>
      <c r="D39" s="477"/>
      <c r="E39" s="477"/>
      <c r="F39" s="478">
        <f t="shared" si="1"/>
        <v>0</v>
      </c>
      <c r="G39" s="478"/>
    </row>
    <row r="40" spans="1:7" ht="14.5" thickBot="1">
      <c r="A40" s="479" t="s">
        <v>283</v>
      </c>
      <c r="B40" s="480"/>
      <c r="C40" s="210"/>
      <c r="D40" s="484"/>
      <c r="E40" s="484"/>
      <c r="F40" s="485">
        <f t="shared" si="1"/>
        <v>0</v>
      </c>
      <c r="G40" s="485"/>
    </row>
    <row r="41" spans="1:7" ht="15.5">
      <c r="A41" s="474" t="s">
        <v>284</v>
      </c>
      <c r="B41" s="474"/>
      <c r="C41" s="211"/>
      <c r="D41" s="475"/>
      <c r="E41" s="475"/>
      <c r="F41" s="476">
        <f>SUM(F31:G40)</f>
        <v>0</v>
      </c>
      <c r="G41" s="476"/>
    </row>
    <row r="42" spans="1:7">
      <c r="A42" s="212"/>
      <c r="C42" s="213"/>
      <c r="F42" s="212"/>
      <c r="G42" s="212"/>
    </row>
    <row r="43" spans="1:7" ht="17" thickBot="1">
      <c r="A43" s="481" t="s">
        <v>122</v>
      </c>
      <c r="B43" s="481"/>
      <c r="C43" s="206" t="s">
        <v>273</v>
      </c>
      <c r="D43" s="482" t="s">
        <v>274</v>
      </c>
      <c r="E43" s="482"/>
      <c r="F43" s="483" t="s">
        <v>275</v>
      </c>
      <c r="G43" s="483"/>
    </row>
    <row r="44" spans="1:7" ht="14">
      <c r="A44" s="479" t="s">
        <v>285</v>
      </c>
      <c r="B44" s="480"/>
      <c r="C44" s="209"/>
      <c r="D44" s="477"/>
      <c r="E44" s="477"/>
      <c r="F44" s="478">
        <f t="shared" ref="F44:F49" si="2">+C44*D44</f>
        <v>0</v>
      </c>
      <c r="G44" s="478"/>
    </row>
    <row r="45" spans="1:7" ht="14">
      <c r="A45" s="207" t="s">
        <v>286</v>
      </c>
      <c r="B45" s="208"/>
      <c r="C45" s="209"/>
      <c r="D45" s="477"/>
      <c r="E45" s="477"/>
      <c r="F45" s="478">
        <f t="shared" si="2"/>
        <v>0</v>
      </c>
      <c r="G45" s="478"/>
    </row>
    <row r="46" spans="1:7" ht="14">
      <c r="A46" s="207" t="s">
        <v>287</v>
      </c>
      <c r="B46" s="208"/>
      <c r="C46" s="209"/>
      <c r="D46" s="477"/>
      <c r="E46" s="477"/>
      <c r="F46" s="478">
        <f t="shared" si="2"/>
        <v>0</v>
      </c>
      <c r="G46" s="478"/>
    </row>
    <row r="47" spans="1:7" ht="14">
      <c r="A47" s="207" t="s">
        <v>288</v>
      </c>
      <c r="B47" s="208"/>
      <c r="C47" s="209"/>
      <c r="D47" s="477"/>
      <c r="E47" s="477"/>
      <c r="F47" s="478">
        <f t="shared" si="2"/>
        <v>0</v>
      </c>
      <c r="G47" s="478"/>
    </row>
    <row r="48" spans="1:7" ht="14">
      <c r="A48" s="207" t="s">
        <v>289</v>
      </c>
      <c r="B48" s="208"/>
      <c r="C48" s="209"/>
      <c r="D48" s="477"/>
      <c r="E48" s="477"/>
      <c r="F48" s="478">
        <f t="shared" si="2"/>
        <v>0</v>
      </c>
      <c r="G48" s="478"/>
    </row>
    <row r="49" spans="1:7" ht="14.5" thickBot="1">
      <c r="A49" s="479" t="s">
        <v>290</v>
      </c>
      <c r="B49" s="480"/>
      <c r="C49" s="209"/>
      <c r="D49" s="477"/>
      <c r="E49" s="477"/>
      <c r="F49" s="478">
        <f t="shared" si="2"/>
        <v>0</v>
      </c>
      <c r="G49" s="478"/>
    </row>
    <row r="50" spans="1:7" ht="15.5">
      <c r="A50" s="474" t="s">
        <v>291</v>
      </c>
      <c r="B50" s="474"/>
      <c r="C50" s="211"/>
      <c r="D50" s="475"/>
      <c r="E50" s="475"/>
      <c r="F50" s="476">
        <f>SUM(F44:G49)</f>
        <v>0</v>
      </c>
      <c r="G50" s="476">
        <f>SUM(G44:G49)</f>
        <v>0</v>
      </c>
    </row>
  </sheetData>
  <mergeCells count="60">
    <mergeCell ref="A30:B30"/>
    <mergeCell ref="D30:E30"/>
    <mergeCell ref="F30:G30"/>
    <mergeCell ref="A1:G1"/>
    <mergeCell ref="B21:F21"/>
    <mergeCell ref="B22:F22"/>
    <mergeCell ref="B28:C28"/>
    <mergeCell ref="A31:B31"/>
    <mergeCell ref="D31:E31"/>
    <mergeCell ref="F31:G31"/>
    <mergeCell ref="A32:B32"/>
    <mergeCell ref="D32:E32"/>
    <mergeCell ref="F32:G32"/>
    <mergeCell ref="A33:B33"/>
    <mergeCell ref="D33:E33"/>
    <mergeCell ref="F33:G33"/>
    <mergeCell ref="A34:B34"/>
    <mergeCell ref="D34:E34"/>
    <mergeCell ref="F34:G34"/>
    <mergeCell ref="A35:B35"/>
    <mergeCell ref="D35:E35"/>
    <mergeCell ref="F35:G35"/>
    <mergeCell ref="A36:B36"/>
    <mergeCell ref="D36:E36"/>
    <mergeCell ref="F36:G36"/>
    <mergeCell ref="A37:B37"/>
    <mergeCell ref="D37:E37"/>
    <mergeCell ref="F37:G37"/>
    <mergeCell ref="A38:B38"/>
    <mergeCell ref="D38:E38"/>
    <mergeCell ref="F38:G38"/>
    <mergeCell ref="A39:B39"/>
    <mergeCell ref="D39:E39"/>
    <mergeCell ref="F39:G39"/>
    <mergeCell ref="A40:B40"/>
    <mergeCell ref="D40:E40"/>
    <mergeCell ref="F40:G40"/>
    <mergeCell ref="D46:E46"/>
    <mergeCell ref="A41:B41"/>
    <mergeCell ref="D41:E41"/>
    <mergeCell ref="F41:G41"/>
    <mergeCell ref="A43:B43"/>
    <mergeCell ref="D43:E43"/>
    <mergeCell ref="F43:G43"/>
    <mergeCell ref="F46:G46"/>
    <mergeCell ref="A44:B44"/>
    <mergeCell ref="D44:E44"/>
    <mergeCell ref="F44:G44"/>
    <mergeCell ref="D45:E45"/>
    <mergeCell ref="F45:G45"/>
    <mergeCell ref="A50:B50"/>
    <mergeCell ref="D50:E50"/>
    <mergeCell ref="F50:G50"/>
    <mergeCell ref="D47:E47"/>
    <mergeCell ref="F47:G47"/>
    <mergeCell ref="D48:E48"/>
    <mergeCell ref="F48:G48"/>
    <mergeCell ref="A49:B49"/>
    <mergeCell ref="D49:E49"/>
    <mergeCell ref="F49:G49"/>
  </mergeCells>
  <phoneticPr fontId="0" type="noConversion"/>
  <printOptions horizontalCentered="1"/>
  <pageMargins left="0.75" right="0.75" top="1" bottom="1" header="0.5" footer="0.5"/>
  <pageSetup scale="78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90"/>
  <sheetViews>
    <sheetView zoomScale="85" zoomScaleNormal="85" workbookViewId="0">
      <pane xSplit="2" ySplit="4" topLeftCell="C19" activePane="bottomRight" state="frozen"/>
      <selection activeCell="E57" sqref="E57"/>
      <selection pane="topRight" activeCell="E57" sqref="E57"/>
      <selection pane="bottomLeft" activeCell="E57" sqref="E57"/>
      <selection pane="bottomRight" activeCell="E47" sqref="E47"/>
    </sheetView>
  </sheetViews>
  <sheetFormatPr defaultRowHeight="12.5"/>
  <cols>
    <col min="1" max="1" width="33.7265625" style="29" customWidth="1"/>
    <col min="2" max="3" width="13.26953125" bestFit="1" customWidth="1"/>
    <col min="4" max="4" width="13.453125" bestFit="1" customWidth="1"/>
    <col min="5" max="7" width="12.26953125" bestFit="1" customWidth="1"/>
    <col min="8" max="8" width="12.7265625" bestFit="1" customWidth="1"/>
    <col min="9" max="10" width="12.26953125" bestFit="1" customWidth="1"/>
    <col min="11" max="11" width="12.54296875" bestFit="1" customWidth="1"/>
    <col min="12" max="12" width="13.26953125" bestFit="1" customWidth="1"/>
    <col min="13" max="13" width="11.7265625" customWidth="1"/>
    <col min="14" max="14" width="11.26953125" bestFit="1" customWidth="1"/>
    <col min="15" max="16" width="11.54296875" customWidth="1"/>
    <col min="17" max="17" width="12.54296875" hidden="1" customWidth="1"/>
    <col min="18" max="26" width="10.7265625" hidden="1" customWidth="1"/>
    <col min="27" max="27" width="12.54296875" customWidth="1"/>
    <col min="29" max="29" width="11.7265625" customWidth="1"/>
  </cols>
  <sheetData>
    <row r="1" spans="1:29" ht="16" thickBot="1">
      <c r="A1" s="495" t="s">
        <v>366</v>
      </c>
      <c r="B1" s="496"/>
      <c r="C1" s="149"/>
    </row>
    <row r="2" spans="1:29" ht="0.75" customHeight="1">
      <c r="A2" s="23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s="52" customFormat="1" ht="12.75" customHeight="1">
      <c r="A3" s="47"/>
      <c r="B3" s="48" t="s">
        <v>66</v>
      </c>
      <c r="C3" s="49" t="s">
        <v>95</v>
      </c>
      <c r="D3" s="48" t="s">
        <v>95</v>
      </c>
      <c r="E3" s="50" t="s">
        <v>95</v>
      </c>
      <c r="F3" s="50" t="s">
        <v>95</v>
      </c>
      <c r="G3" s="48" t="s">
        <v>95</v>
      </c>
      <c r="H3" s="51" t="s">
        <v>95</v>
      </c>
      <c r="I3" s="48" t="s">
        <v>95</v>
      </c>
      <c r="J3" s="51" t="s">
        <v>95</v>
      </c>
      <c r="K3" s="48" t="s">
        <v>95</v>
      </c>
      <c r="L3" s="51" t="s">
        <v>95</v>
      </c>
      <c r="M3" s="48" t="s">
        <v>95</v>
      </c>
      <c r="N3" s="51" t="s">
        <v>95</v>
      </c>
      <c r="O3" s="141" t="s">
        <v>95</v>
      </c>
      <c r="P3" s="51" t="s">
        <v>95</v>
      </c>
      <c r="Q3" s="48" t="s">
        <v>95</v>
      </c>
      <c r="R3" s="51" t="s">
        <v>95</v>
      </c>
      <c r="S3" s="48" t="s">
        <v>95</v>
      </c>
      <c r="T3" s="51" t="s">
        <v>95</v>
      </c>
      <c r="U3" s="48" t="s">
        <v>95</v>
      </c>
      <c r="V3" s="51" t="s">
        <v>95</v>
      </c>
      <c r="W3" s="48" t="s">
        <v>95</v>
      </c>
      <c r="X3" s="51" t="s">
        <v>95</v>
      </c>
      <c r="Y3" s="48" t="s">
        <v>95</v>
      </c>
      <c r="Z3" s="141" t="s">
        <v>95</v>
      </c>
      <c r="AA3" s="48"/>
      <c r="AB3" s="48" t="s">
        <v>96</v>
      </c>
    </row>
    <row r="4" spans="1:29" s="52" customFormat="1" ht="14">
      <c r="A4" s="31" t="s">
        <v>85</v>
      </c>
      <c r="B4" s="53" t="s">
        <v>94</v>
      </c>
      <c r="C4" s="54">
        <v>1</v>
      </c>
      <c r="D4" s="53">
        <f>C4+1</f>
        <v>2</v>
      </c>
      <c r="E4" s="55">
        <f t="shared" ref="E4:Z4" si="0">D4+1</f>
        <v>3</v>
      </c>
      <c r="F4" s="55">
        <f t="shared" si="0"/>
        <v>4</v>
      </c>
      <c r="G4" s="53">
        <f t="shared" si="0"/>
        <v>5</v>
      </c>
      <c r="H4" s="55">
        <f t="shared" si="0"/>
        <v>6</v>
      </c>
      <c r="I4" s="53">
        <f t="shared" si="0"/>
        <v>7</v>
      </c>
      <c r="J4" s="55">
        <f t="shared" si="0"/>
        <v>8</v>
      </c>
      <c r="K4" s="53">
        <f t="shared" si="0"/>
        <v>9</v>
      </c>
      <c r="L4" s="55">
        <f t="shared" si="0"/>
        <v>10</v>
      </c>
      <c r="M4" s="53">
        <f t="shared" si="0"/>
        <v>11</v>
      </c>
      <c r="N4" s="55">
        <f t="shared" si="0"/>
        <v>12</v>
      </c>
      <c r="O4" s="53">
        <f t="shared" si="0"/>
        <v>13</v>
      </c>
      <c r="P4" s="55">
        <f t="shared" si="0"/>
        <v>14</v>
      </c>
      <c r="Q4" s="53">
        <f t="shared" si="0"/>
        <v>15</v>
      </c>
      <c r="R4" s="55">
        <f t="shared" si="0"/>
        <v>16</v>
      </c>
      <c r="S4" s="53">
        <f t="shared" si="0"/>
        <v>17</v>
      </c>
      <c r="T4" s="55">
        <f t="shared" si="0"/>
        <v>18</v>
      </c>
      <c r="U4" s="53">
        <f t="shared" si="0"/>
        <v>19</v>
      </c>
      <c r="V4" s="55">
        <f t="shared" si="0"/>
        <v>20</v>
      </c>
      <c r="W4" s="53">
        <f t="shared" si="0"/>
        <v>21</v>
      </c>
      <c r="X4" s="55">
        <f t="shared" si="0"/>
        <v>22</v>
      </c>
      <c r="Y4" s="53">
        <f t="shared" si="0"/>
        <v>23</v>
      </c>
      <c r="Z4" s="54">
        <f t="shared" si="0"/>
        <v>24</v>
      </c>
      <c r="AA4" s="53" t="s">
        <v>66</v>
      </c>
      <c r="AB4" s="53" t="s">
        <v>97</v>
      </c>
      <c r="AC4" s="56" t="s">
        <v>98</v>
      </c>
    </row>
    <row r="5" spans="1:29">
      <c r="A5" s="26" t="s">
        <v>150</v>
      </c>
      <c r="B5" s="20">
        <f>'6)Dev Budget'!G14</f>
        <v>0</v>
      </c>
      <c r="C5" s="361">
        <f>B5</f>
        <v>0</v>
      </c>
      <c r="D5" s="362"/>
      <c r="E5" s="363"/>
      <c r="F5" s="363"/>
      <c r="G5" s="362"/>
      <c r="H5" s="363"/>
      <c r="I5" s="362"/>
      <c r="J5" s="363"/>
      <c r="K5" s="362"/>
      <c r="L5" s="363"/>
      <c r="M5" s="362"/>
      <c r="N5" s="363"/>
      <c r="O5" s="362"/>
      <c r="P5" s="363"/>
      <c r="Q5" s="362"/>
      <c r="R5" s="363"/>
      <c r="S5" s="362"/>
      <c r="T5" s="363"/>
      <c r="U5" s="7"/>
      <c r="V5" s="41"/>
      <c r="W5" s="7"/>
      <c r="X5" s="41"/>
      <c r="Y5" s="7"/>
      <c r="Z5" s="41"/>
      <c r="AA5" s="6">
        <f t="shared" ref="AA5:AA12" si="1">SUM(C5:Z5)</f>
        <v>0</v>
      </c>
      <c r="AB5" t="str">
        <f t="shared" ref="AB5:AB12" si="2">IF(AA5=B5,"Balanced",IF(AA5&gt;B5,"Over","Under"))</f>
        <v>Balanced</v>
      </c>
      <c r="AC5" s="6">
        <f t="shared" ref="AC5:AC12" si="3">B5-AA5</f>
        <v>0</v>
      </c>
    </row>
    <row r="6" spans="1:29">
      <c r="A6" s="26" t="s">
        <v>60</v>
      </c>
      <c r="B6" s="20">
        <f>'6)Dev Budget'!G19</f>
        <v>0</v>
      </c>
      <c r="C6" s="361">
        <f>B6</f>
        <v>0</v>
      </c>
      <c r="D6" s="362"/>
      <c r="E6" s="363"/>
      <c r="F6" s="363"/>
      <c r="G6" s="362"/>
      <c r="H6" s="363"/>
      <c r="I6" s="362"/>
      <c r="J6" s="363"/>
      <c r="K6" s="362"/>
      <c r="L6" s="363"/>
      <c r="M6" s="362"/>
      <c r="N6" s="363"/>
      <c r="O6" s="362"/>
      <c r="P6" s="363"/>
      <c r="Q6" s="362"/>
      <c r="R6" s="363"/>
      <c r="S6" s="362"/>
      <c r="T6" s="363"/>
      <c r="U6" s="7"/>
      <c r="V6" s="41"/>
      <c r="W6" s="7"/>
      <c r="X6" s="41"/>
      <c r="Y6" s="7"/>
      <c r="Z6" s="41"/>
      <c r="AA6" s="6">
        <f t="shared" si="1"/>
        <v>0</v>
      </c>
      <c r="AB6" t="str">
        <f t="shared" si="2"/>
        <v>Balanced</v>
      </c>
      <c r="AC6" s="6">
        <f t="shared" si="3"/>
        <v>0</v>
      </c>
    </row>
    <row r="7" spans="1:29">
      <c r="A7" s="26" t="s">
        <v>62</v>
      </c>
      <c r="B7" s="20">
        <f>'6)Dev Budget'!G32</f>
        <v>0</v>
      </c>
      <c r="C7" s="361"/>
      <c r="D7" s="361">
        <f>$B$7/9</f>
        <v>0</v>
      </c>
      <c r="E7" s="361">
        <f t="shared" ref="E7:L7" si="4">$B$7/9</f>
        <v>0</v>
      </c>
      <c r="F7" s="361">
        <f t="shared" si="4"/>
        <v>0</v>
      </c>
      <c r="G7" s="361">
        <f t="shared" si="4"/>
        <v>0</v>
      </c>
      <c r="H7" s="361">
        <f t="shared" si="4"/>
        <v>0</v>
      </c>
      <c r="I7" s="361">
        <f t="shared" si="4"/>
        <v>0</v>
      </c>
      <c r="J7" s="361">
        <f t="shared" si="4"/>
        <v>0</v>
      </c>
      <c r="K7" s="361">
        <f t="shared" si="4"/>
        <v>0</v>
      </c>
      <c r="L7" s="361">
        <f t="shared" si="4"/>
        <v>0</v>
      </c>
      <c r="M7" s="361"/>
      <c r="N7" s="363"/>
      <c r="O7" s="362"/>
      <c r="P7" s="363"/>
      <c r="Q7" s="362"/>
      <c r="R7" s="363"/>
      <c r="S7" s="362"/>
      <c r="T7" s="363"/>
      <c r="U7" s="7"/>
      <c r="V7" s="41"/>
      <c r="W7" s="7"/>
      <c r="X7" s="41"/>
      <c r="Y7" s="7"/>
      <c r="Z7" s="41"/>
      <c r="AA7" s="6">
        <f t="shared" si="1"/>
        <v>0</v>
      </c>
      <c r="AB7" t="str">
        <f t="shared" si="2"/>
        <v>Balanced</v>
      </c>
      <c r="AC7" s="6">
        <f t="shared" si="3"/>
        <v>0</v>
      </c>
    </row>
    <row r="8" spans="1:29">
      <c r="A8" s="26" t="s">
        <v>151</v>
      </c>
      <c r="B8" s="20">
        <f>'6)Dev Budget'!G38</f>
        <v>0</v>
      </c>
      <c r="C8" s="361">
        <f>0.5*B8</f>
        <v>0</v>
      </c>
      <c r="D8" s="362"/>
      <c r="E8" s="363"/>
      <c r="F8" s="363"/>
      <c r="G8" s="362"/>
      <c r="H8" s="363">
        <f>B8-C8</f>
        <v>0</v>
      </c>
      <c r="I8" s="362"/>
      <c r="J8" s="363"/>
      <c r="K8" s="362"/>
      <c r="L8" s="363"/>
      <c r="M8" s="362"/>
      <c r="N8" s="363"/>
      <c r="O8" s="362"/>
      <c r="P8" s="363"/>
      <c r="Q8" s="362"/>
      <c r="R8" s="363"/>
      <c r="S8" s="362"/>
      <c r="T8" s="363"/>
      <c r="U8" s="7"/>
      <c r="V8" s="41"/>
      <c r="W8" s="7"/>
      <c r="X8" s="41"/>
      <c r="Y8" s="7"/>
      <c r="Z8" s="41"/>
      <c r="AA8" s="6">
        <f t="shared" si="1"/>
        <v>0</v>
      </c>
      <c r="AB8" t="str">
        <f t="shared" si="2"/>
        <v>Balanced</v>
      </c>
      <c r="AC8" s="6">
        <f t="shared" si="3"/>
        <v>0</v>
      </c>
    </row>
    <row r="9" spans="1:29">
      <c r="A9" s="140" t="s">
        <v>154</v>
      </c>
      <c r="B9" s="20">
        <f>'6)Dev Budget'!G45</f>
        <v>0</v>
      </c>
      <c r="C9" s="361">
        <f>0.75*B9</f>
        <v>0</v>
      </c>
      <c r="D9" s="361"/>
      <c r="E9" s="361"/>
      <c r="F9" s="361"/>
      <c r="G9" s="361"/>
      <c r="H9" s="363">
        <f>B9-C9</f>
        <v>0</v>
      </c>
      <c r="I9" s="361"/>
      <c r="J9" s="361"/>
      <c r="K9" s="361"/>
      <c r="L9" s="361"/>
      <c r="M9" s="361"/>
      <c r="N9" s="361"/>
      <c r="O9" s="361"/>
      <c r="P9" s="363"/>
      <c r="Q9" s="362"/>
      <c r="R9" s="363"/>
      <c r="S9" s="362"/>
      <c r="T9" s="363"/>
      <c r="U9" s="7"/>
      <c r="V9" s="41"/>
      <c r="W9" s="7"/>
      <c r="X9" s="41"/>
      <c r="Y9" s="7"/>
      <c r="Z9" s="41"/>
      <c r="AA9" s="6">
        <f t="shared" si="1"/>
        <v>0</v>
      </c>
      <c r="AB9" t="str">
        <f t="shared" si="2"/>
        <v>Balanced</v>
      </c>
      <c r="AC9" s="6">
        <f t="shared" si="3"/>
        <v>0</v>
      </c>
    </row>
    <row r="10" spans="1:29">
      <c r="A10" s="26" t="s">
        <v>152</v>
      </c>
      <c r="B10" s="20">
        <f>'6)Dev Budget'!G51</f>
        <v>0</v>
      </c>
      <c r="C10" s="361"/>
      <c r="D10" s="362"/>
      <c r="E10" s="363"/>
      <c r="F10" s="363"/>
      <c r="G10" s="362"/>
      <c r="H10" s="363"/>
      <c r="I10" s="362"/>
      <c r="J10" s="363"/>
      <c r="K10" s="362"/>
      <c r="L10" s="363"/>
      <c r="M10" s="362"/>
      <c r="N10" s="363"/>
      <c r="O10" s="362"/>
      <c r="P10" s="363"/>
      <c r="Q10" s="362"/>
      <c r="R10" s="363"/>
      <c r="S10" s="362"/>
      <c r="T10" s="363"/>
      <c r="U10" s="7"/>
      <c r="V10" s="41"/>
      <c r="W10" s="7"/>
      <c r="X10" s="41"/>
      <c r="Y10" s="7"/>
      <c r="Z10" s="41"/>
      <c r="AA10" s="6">
        <f t="shared" si="1"/>
        <v>0</v>
      </c>
      <c r="AB10" t="str">
        <f t="shared" si="2"/>
        <v>Balanced</v>
      </c>
      <c r="AC10" s="6">
        <f t="shared" si="3"/>
        <v>0</v>
      </c>
    </row>
    <row r="11" spans="1:29">
      <c r="A11" s="26" t="s">
        <v>64</v>
      </c>
      <c r="B11" s="20">
        <f>'6)Dev Budget'!G57</f>
        <v>0</v>
      </c>
      <c r="C11" s="361">
        <f>B11</f>
        <v>0</v>
      </c>
      <c r="D11" s="362"/>
      <c r="E11" s="363"/>
      <c r="F11" s="363"/>
      <c r="G11" s="362"/>
      <c r="H11" s="363"/>
      <c r="I11" s="363"/>
      <c r="J11" s="361"/>
      <c r="K11" s="362"/>
      <c r="L11" s="363"/>
      <c r="M11" s="362"/>
      <c r="N11" s="363"/>
      <c r="O11" s="362"/>
      <c r="P11" s="363"/>
      <c r="Q11" s="362"/>
      <c r="R11" s="363"/>
      <c r="S11" s="362"/>
      <c r="T11" s="363"/>
      <c r="U11" s="7"/>
      <c r="V11" s="41"/>
      <c r="W11" s="7"/>
      <c r="X11" s="41"/>
      <c r="Y11" s="7"/>
      <c r="Z11" s="41"/>
      <c r="AA11" s="6">
        <f t="shared" si="1"/>
        <v>0</v>
      </c>
      <c r="AB11" t="str">
        <f t="shared" si="2"/>
        <v>Balanced</v>
      </c>
      <c r="AC11" s="6">
        <f t="shared" si="3"/>
        <v>0</v>
      </c>
    </row>
    <row r="12" spans="1:29">
      <c r="A12" s="57" t="s">
        <v>63</v>
      </c>
      <c r="B12" s="22">
        <f>'6)Dev Budget'!G61</f>
        <v>0</v>
      </c>
      <c r="C12" s="364">
        <v>40000</v>
      </c>
      <c r="D12" s="365"/>
      <c r="E12" s="366"/>
      <c r="F12" s="366"/>
      <c r="G12" s="365"/>
      <c r="H12" s="366"/>
      <c r="I12" s="365"/>
      <c r="J12" s="366"/>
      <c r="K12" s="365"/>
      <c r="L12" s="366">
        <v>100000</v>
      </c>
      <c r="M12" s="365">
        <f>B12-SUM(C12:L12)</f>
        <v>-140000</v>
      </c>
      <c r="N12" s="366"/>
      <c r="O12" s="365"/>
      <c r="P12" s="366"/>
      <c r="Q12" s="365"/>
      <c r="R12" s="366"/>
      <c r="S12" s="365"/>
      <c r="T12" s="366"/>
      <c r="U12" s="9"/>
      <c r="V12" s="38"/>
      <c r="W12" s="9"/>
      <c r="X12" s="38"/>
      <c r="Y12" s="9"/>
      <c r="Z12" s="38"/>
      <c r="AA12" s="6">
        <f t="shared" si="1"/>
        <v>0</v>
      </c>
      <c r="AB12" t="str">
        <f t="shared" si="2"/>
        <v>Balanced</v>
      </c>
      <c r="AC12" s="6">
        <f t="shared" si="3"/>
        <v>0</v>
      </c>
    </row>
    <row r="13" spans="1:29">
      <c r="A13" s="27" t="s">
        <v>86</v>
      </c>
      <c r="B13" s="20">
        <f t="shared" ref="B13:Z13" si="5">SUM(B5:B12)</f>
        <v>0</v>
      </c>
      <c r="C13" s="20">
        <f t="shared" si="5"/>
        <v>40000</v>
      </c>
      <c r="D13" s="6">
        <f t="shared" si="5"/>
        <v>0</v>
      </c>
      <c r="E13" s="42">
        <f t="shared" si="5"/>
        <v>0</v>
      </c>
      <c r="F13" s="42">
        <f t="shared" si="5"/>
        <v>0</v>
      </c>
      <c r="G13" s="6">
        <f t="shared" si="5"/>
        <v>0</v>
      </c>
      <c r="H13" s="42">
        <f t="shared" si="5"/>
        <v>0</v>
      </c>
      <c r="I13" s="6">
        <f t="shared" si="5"/>
        <v>0</v>
      </c>
      <c r="J13" s="42">
        <f t="shared" si="5"/>
        <v>0</v>
      </c>
      <c r="K13" s="6">
        <f t="shared" si="5"/>
        <v>0</v>
      </c>
      <c r="L13" s="42">
        <f t="shared" si="5"/>
        <v>100000</v>
      </c>
      <c r="M13" s="6">
        <f t="shared" si="5"/>
        <v>-140000</v>
      </c>
      <c r="N13" s="42">
        <f t="shared" si="5"/>
        <v>0</v>
      </c>
      <c r="O13" s="6">
        <f t="shared" si="5"/>
        <v>0</v>
      </c>
      <c r="P13" s="42">
        <f t="shared" si="5"/>
        <v>0</v>
      </c>
      <c r="Q13" s="6">
        <f t="shared" si="5"/>
        <v>0</v>
      </c>
      <c r="R13" s="42">
        <f t="shared" si="5"/>
        <v>0</v>
      </c>
      <c r="S13" s="6">
        <f t="shared" si="5"/>
        <v>0</v>
      </c>
      <c r="T13" s="42">
        <f t="shared" si="5"/>
        <v>0</v>
      </c>
      <c r="U13" s="6">
        <f t="shared" si="5"/>
        <v>0</v>
      </c>
      <c r="V13" s="42">
        <f t="shared" si="5"/>
        <v>0</v>
      </c>
      <c r="W13" s="6">
        <f t="shared" si="5"/>
        <v>0</v>
      </c>
      <c r="X13" s="42">
        <f t="shared" si="5"/>
        <v>0</v>
      </c>
      <c r="Y13" s="6">
        <f t="shared" si="5"/>
        <v>0</v>
      </c>
      <c r="Z13" s="42">
        <f t="shared" si="5"/>
        <v>0</v>
      </c>
    </row>
    <row r="14" spans="1:29" ht="8.25" customHeight="1">
      <c r="A14" s="24"/>
      <c r="B14" s="20"/>
      <c r="C14" s="20"/>
      <c r="D14" s="6"/>
      <c r="E14" s="42"/>
      <c r="F14" s="42"/>
      <c r="G14" s="6"/>
      <c r="H14" s="42"/>
      <c r="I14" s="6"/>
      <c r="J14" s="42"/>
      <c r="K14" s="6"/>
      <c r="L14" s="42"/>
      <c r="M14" s="6"/>
      <c r="N14" s="42"/>
      <c r="O14" s="6"/>
      <c r="P14" s="42"/>
      <c r="Q14" s="6"/>
      <c r="R14" s="42"/>
      <c r="S14" s="6"/>
      <c r="T14" s="42"/>
      <c r="U14" s="6"/>
      <c r="V14" s="42"/>
      <c r="W14" s="6"/>
      <c r="X14" s="42"/>
      <c r="Y14" s="6"/>
      <c r="Z14" s="42"/>
    </row>
    <row r="15" spans="1:29" ht="14">
      <c r="A15" s="25" t="s">
        <v>87</v>
      </c>
      <c r="B15" s="20"/>
      <c r="C15" s="20"/>
      <c r="D15" s="6"/>
      <c r="E15" s="42"/>
      <c r="F15" s="42"/>
      <c r="G15" s="6"/>
      <c r="H15" s="42"/>
      <c r="I15" s="6"/>
      <c r="J15" s="42"/>
      <c r="K15" s="6"/>
      <c r="L15" s="42"/>
      <c r="M15" s="6"/>
      <c r="N15" s="42"/>
      <c r="O15" s="6"/>
      <c r="P15" s="42"/>
      <c r="Q15" s="6"/>
      <c r="R15" s="42"/>
      <c r="S15" s="6"/>
      <c r="T15" s="42"/>
      <c r="U15" s="6"/>
      <c r="V15" s="42"/>
      <c r="W15" s="6"/>
      <c r="X15" s="42"/>
      <c r="Y15" s="6"/>
      <c r="Z15" s="42"/>
    </row>
    <row r="16" spans="1:29">
      <c r="A16" s="26" t="s">
        <v>99</v>
      </c>
      <c r="B16" s="20"/>
      <c r="C16" s="20"/>
      <c r="D16" s="6">
        <f>C35</f>
        <v>412136</v>
      </c>
      <c r="E16" s="42">
        <f t="shared" ref="E16:Z16" si="6">D35</f>
        <v>412136</v>
      </c>
      <c r="F16" s="42">
        <f t="shared" si="6"/>
        <v>412136</v>
      </c>
      <c r="G16" s="6">
        <f t="shared" si="6"/>
        <v>412136</v>
      </c>
      <c r="H16" s="42">
        <f t="shared" si="6"/>
        <v>412136</v>
      </c>
      <c r="I16" s="6">
        <f t="shared" si="6"/>
        <v>412136</v>
      </c>
      <c r="J16" s="42">
        <f t="shared" si="6"/>
        <v>422136</v>
      </c>
      <c r="K16" s="6">
        <f t="shared" si="6"/>
        <v>422136</v>
      </c>
      <c r="L16" s="42">
        <f t="shared" si="6"/>
        <v>422136</v>
      </c>
      <c r="M16" s="6">
        <f t="shared" si="6"/>
        <v>322136</v>
      </c>
      <c r="N16" s="42">
        <f t="shared" si="6"/>
        <v>462136</v>
      </c>
      <c r="O16" s="6">
        <f t="shared" si="6"/>
        <v>442136</v>
      </c>
      <c r="P16" s="42">
        <f t="shared" si="6"/>
        <v>442136</v>
      </c>
      <c r="Q16" s="6">
        <f t="shared" si="6"/>
        <v>442136</v>
      </c>
      <c r="R16" s="42">
        <f t="shared" si="6"/>
        <v>442136</v>
      </c>
      <c r="S16" s="6">
        <f t="shared" si="6"/>
        <v>442136</v>
      </c>
      <c r="T16" s="42">
        <f t="shared" si="6"/>
        <v>442136</v>
      </c>
      <c r="U16" s="6">
        <f t="shared" si="6"/>
        <v>442136</v>
      </c>
      <c r="V16" s="42">
        <f t="shared" si="6"/>
        <v>442136</v>
      </c>
      <c r="W16" s="6">
        <f t="shared" si="6"/>
        <v>442136</v>
      </c>
      <c r="X16" s="42">
        <f t="shared" si="6"/>
        <v>442136</v>
      </c>
      <c r="Y16" s="6">
        <f t="shared" si="6"/>
        <v>442136</v>
      </c>
      <c r="Z16" s="42">
        <f t="shared" si="6"/>
        <v>442136</v>
      </c>
    </row>
    <row r="17" spans="1:29">
      <c r="A17" s="329" t="str">
        <f>'1)Summary &amp; Gap'!B51</f>
        <v>Mortgage</v>
      </c>
      <c r="B17" s="20">
        <f>'1)Summary &amp; Gap'!E51</f>
        <v>0</v>
      </c>
      <c r="C17" s="34">
        <v>442136</v>
      </c>
      <c r="D17" s="7"/>
      <c r="E17" s="41"/>
      <c r="F17" s="41"/>
      <c r="G17" s="7"/>
      <c r="H17" s="41"/>
      <c r="I17" s="7"/>
      <c r="J17" s="41"/>
      <c r="K17" s="7"/>
      <c r="L17" s="41"/>
      <c r="M17" s="7"/>
      <c r="N17" s="41"/>
      <c r="O17" s="7"/>
      <c r="P17" s="41"/>
      <c r="Q17" s="7"/>
      <c r="R17" s="41"/>
      <c r="S17" s="7"/>
      <c r="T17" s="41"/>
      <c r="U17" s="7"/>
      <c r="V17" s="41"/>
      <c r="W17" s="7"/>
      <c r="X17" s="41"/>
      <c r="Y17" s="7"/>
      <c r="Z17" s="41"/>
      <c r="AA17" s="6">
        <f t="shared" ref="AA17:AA24" si="7">SUM(C17:Z17)</f>
        <v>442136</v>
      </c>
      <c r="AB17" t="str">
        <f t="shared" ref="AB17:AB24" si="8">IF(AA17=B17,"Balanced",IF(AA17&gt;B17,"Over","Under"))</f>
        <v>Over</v>
      </c>
      <c r="AC17" s="6">
        <f t="shared" ref="AC17:AC24" si="9">B17-AA17</f>
        <v>-442136</v>
      </c>
    </row>
    <row r="18" spans="1:29">
      <c r="A18" s="329" t="str">
        <f>'1)Summary &amp; Gap'!B52</f>
        <v>Tax Credit Equity</v>
      </c>
      <c r="B18" s="20">
        <f>'1)Summary &amp; Gap'!E52</f>
        <v>0</v>
      </c>
      <c r="C18" s="34"/>
      <c r="D18" s="7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7"/>
      <c r="P18" s="41"/>
      <c r="Q18" s="7"/>
      <c r="R18" s="41"/>
      <c r="S18" s="7"/>
      <c r="T18" s="41"/>
      <c r="U18" s="7"/>
      <c r="V18" s="41"/>
      <c r="W18" s="7"/>
      <c r="X18" s="41"/>
      <c r="Y18" s="7"/>
      <c r="Z18" s="41"/>
      <c r="AA18" s="6">
        <f>SUM(C18:Z18)</f>
        <v>0</v>
      </c>
      <c r="AB18" t="str">
        <f>IF(AA18=B18,"Balanced",IF(AA18&gt;B18,"Over","Under"))</f>
        <v>Balanced</v>
      </c>
      <c r="AC18" s="6">
        <f>B18-AA18</f>
        <v>0</v>
      </c>
    </row>
    <row r="19" spans="1:29">
      <c r="A19" s="329">
        <f>'1)Summary &amp; Gap'!B53</f>
        <v>0</v>
      </c>
      <c r="B19" s="20">
        <f>'1)Summary &amp; Gap'!E53</f>
        <v>0</v>
      </c>
      <c r="C19" s="7">
        <v>10000</v>
      </c>
      <c r="D19" s="41"/>
      <c r="E19" s="41"/>
      <c r="F19" s="41"/>
      <c r="G19" s="41"/>
      <c r="H19" s="41"/>
      <c r="I19" s="41">
        <v>10000</v>
      </c>
      <c r="J19" s="41"/>
      <c r="K19" s="41"/>
      <c r="L19" s="41"/>
      <c r="M19" s="41"/>
      <c r="N19" s="41">
        <f>B19-SUM(C19:M19)</f>
        <v>-20000</v>
      </c>
      <c r="O19" s="7"/>
      <c r="P19" s="41"/>
      <c r="Q19" s="7"/>
      <c r="R19" s="41"/>
      <c r="S19" s="7"/>
      <c r="T19" s="41"/>
      <c r="U19" s="7"/>
      <c r="V19" s="41"/>
      <c r="W19" s="7"/>
      <c r="X19" s="41"/>
      <c r="Y19" s="7"/>
      <c r="Z19" s="41"/>
      <c r="AA19" s="6">
        <f>SUM(C19:Z19)</f>
        <v>0</v>
      </c>
      <c r="AB19" t="str">
        <f t="shared" si="8"/>
        <v>Balanced</v>
      </c>
      <c r="AC19" s="6">
        <f t="shared" si="9"/>
        <v>0</v>
      </c>
    </row>
    <row r="20" spans="1:29">
      <c r="A20" s="329" t="str">
        <f>'1)Summary &amp; Gap'!B54</f>
        <v>HOME</v>
      </c>
      <c r="B20" s="20">
        <f>'1)Summary &amp; Gap'!E54</f>
        <v>0</v>
      </c>
      <c r="C20" s="34"/>
      <c r="D20" s="7">
        <f>B20</f>
        <v>0</v>
      </c>
      <c r="E20" s="41"/>
      <c r="F20" s="41"/>
      <c r="G20" s="7"/>
      <c r="H20" s="41"/>
      <c r="I20" s="7"/>
      <c r="J20" s="41"/>
      <c r="K20" s="7"/>
      <c r="L20" s="41"/>
      <c r="M20" s="7"/>
      <c r="N20" s="41"/>
      <c r="O20" s="7"/>
      <c r="P20" s="41"/>
      <c r="Q20" s="7"/>
      <c r="R20" s="41"/>
      <c r="S20" s="7"/>
      <c r="T20" s="41"/>
      <c r="U20" s="7"/>
      <c r="V20" s="41"/>
      <c r="W20" s="7"/>
      <c r="X20" s="41"/>
      <c r="Y20" s="7"/>
      <c r="Z20" s="41"/>
      <c r="AA20" s="6">
        <f t="shared" si="7"/>
        <v>0</v>
      </c>
      <c r="AB20" t="str">
        <f t="shared" si="8"/>
        <v>Balanced</v>
      </c>
      <c r="AC20" s="6">
        <f t="shared" si="9"/>
        <v>0</v>
      </c>
    </row>
    <row r="21" spans="1:29">
      <c r="A21" s="329">
        <f>'1)Summary &amp; Gap'!B55</f>
        <v>0</v>
      </c>
      <c r="B21" s="20">
        <f>'1)Summary &amp; Gap'!E55</f>
        <v>0</v>
      </c>
      <c r="C21" s="34"/>
      <c r="D21" s="7"/>
      <c r="E21" s="41"/>
      <c r="F21" s="41"/>
      <c r="G21" s="7"/>
      <c r="H21" s="41"/>
      <c r="I21" s="7"/>
      <c r="J21" s="41"/>
      <c r="K21" s="7"/>
      <c r="L21" s="41"/>
      <c r="M21" s="7"/>
      <c r="N21" s="41">
        <f>B21-SUM(C21:M21)</f>
        <v>0</v>
      </c>
      <c r="O21" s="7"/>
      <c r="P21" s="41"/>
      <c r="Q21" s="7"/>
      <c r="R21" s="41"/>
      <c r="S21" s="7"/>
      <c r="T21" s="41"/>
      <c r="U21" s="7"/>
      <c r="V21" s="41"/>
      <c r="W21" s="7"/>
      <c r="X21" s="41"/>
      <c r="Y21" s="7"/>
      <c r="Z21" s="41"/>
      <c r="AA21" s="6">
        <f t="shared" si="7"/>
        <v>0</v>
      </c>
      <c r="AB21" t="str">
        <f t="shared" si="8"/>
        <v>Balanced</v>
      </c>
      <c r="AC21" s="6">
        <f t="shared" si="9"/>
        <v>0</v>
      </c>
    </row>
    <row r="22" spans="1:29">
      <c r="A22" s="329" t="str">
        <f>'1)Summary &amp; Gap'!B56</f>
        <v>Sponsor Equity/Def Fee</v>
      </c>
      <c r="B22" s="20">
        <f>'1)Summary &amp; Gap'!E56</f>
        <v>0</v>
      </c>
      <c r="C22" s="34">
        <f>B22</f>
        <v>0</v>
      </c>
      <c r="D22" s="7"/>
      <c r="E22" s="41"/>
      <c r="F22" s="41"/>
      <c r="G22" s="7"/>
      <c r="H22" s="41"/>
      <c r="I22" s="7"/>
      <c r="J22" s="41"/>
      <c r="K22" s="7"/>
      <c r="L22" s="41"/>
      <c r="M22" s="7"/>
      <c r="N22" s="41"/>
      <c r="O22" s="7"/>
      <c r="P22" s="41"/>
      <c r="Q22" s="7"/>
      <c r="R22" s="41"/>
      <c r="S22" s="7"/>
      <c r="T22" s="41"/>
      <c r="U22" s="7"/>
      <c r="V22" s="41"/>
      <c r="W22" s="7"/>
      <c r="X22" s="41"/>
      <c r="Y22" s="7"/>
      <c r="Z22" s="41"/>
      <c r="AA22" s="6">
        <f t="shared" si="7"/>
        <v>0</v>
      </c>
      <c r="AB22" t="str">
        <f t="shared" si="8"/>
        <v>Balanced</v>
      </c>
      <c r="AC22" s="6">
        <f t="shared" si="9"/>
        <v>0</v>
      </c>
    </row>
    <row r="23" spans="1:29" hidden="1">
      <c r="A23" s="329" t="str">
        <f>'1)Summary &amp; Gap'!B57</f>
        <v>Home Request</v>
      </c>
      <c r="B23" s="20">
        <f>'1)Summary &amp; Gap'!E57</f>
        <v>0</v>
      </c>
      <c r="C23" s="34"/>
      <c r="D23" s="7"/>
      <c r="E23" s="41"/>
      <c r="F23" s="41"/>
      <c r="G23" s="7"/>
      <c r="H23" s="41"/>
      <c r="I23" s="7"/>
      <c r="J23" s="41"/>
      <c r="K23" s="7"/>
      <c r="L23" s="41"/>
      <c r="M23" s="7"/>
      <c r="N23" s="41"/>
      <c r="O23" s="7"/>
      <c r="P23" s="41"/>
      <c r="Q23" s="7"/>
      <c r="R23" s="41"/>
      <c r="S23" s="7"/>
      <c r="T23" s="41"/>
      <c r="U23" s="7"/>
      <c r="V23" s="41"/>
      <c r="W23" s="7"/>
      <c r="X23" s="41"/>
      <c r="Y23" s="7"/>
      <c r="Z23" s="41"/>
      <c r="AA23" s="6">
        <f t="shared" si="7"/>
        <v>0</v>
      </c>
      <c r="AB23" t="str">
        <f t="shared" si="8"/>
        <v>Balanced</v>
      </c>
      <c r="AC23" s="6">
        <f t="shared" si="9"/>
        <v>0</v>
      </c>
    </row>
    <row r="24" spans="1:29" hidden="1">
      <c r="A24" s="329" t="str">
        <f>'1)Summary &amp; Gap'!B58</f>
        <v>Match Funds min 25%</v>
      </c>
      <c r="B24" s="20">
        <f>'1)Summary &amp; Gap'!E58</f>
        <v>0</v>
      </c>
      <c r="C24" s="38"/>
      <c r="D24" s="9"/>
      <c r="E24" s="38"/>
      <c r="F24" s="38"/>
      <c r="G24" s="9"/>
      <c r="H24" s="38"/>
      <c r="I24" s="9"/>
      <c r="J24" s="38"/>
      <c r="K24" s="9"/>
      <c r="L24" s="38"/>
      <c r="M24" s="9"/>
      <c r="N24" s="38"/>
      <c r="O24" s="9"/>
      <c r="P24" s="38"/>
      <c r="Q24" s="9"/>
      <c r="R24" s="38"/>
      <c r="S24" s="9"/>
      <c r="T24" s="38"/>
      <c r="U24" s="9"/>
      <c r="V24" s="38"/>
      <c r="W24" s="9"/>
      <c r="X24" s="38"/>
      <c r="Y24" s="9"/>
      <c r="Z24" s="38"/>
      <c r="AA24" s="10">
        <f t="shared" si="7"/>
        <v>0</v>
      </c>
      <c r="AB24" s="8" t="str">
        <f t="shared" si="8"/>
        <v>Balanced</v>
      </c>
      <c r="AC24" s="10">
        <f t="shared" si="9"/>
        <v>0</v>
      </c>
    </row>
    <row r="25" spans="1:29">
      <c r="A25" s="27" t="s">
        <v>88</v>
      </c>
      <c r="B25" s="20">
        <f>SUM(B17:B24)</f>
        <v>0</v>
      </c>
      <c r="C25" s="20">
        <f>SUM(C16:C24)</f>
        <v>452136</v>
      </c>
      <c r="D25" s="6">
        <f t="shared" ref="D25:Z25" si="10">SUM(D16:D24)</f>
        <v>412136</v>
      </c>
      <c r="E25" s="42">
        <f t="shared" si="10"/>
        <v>412136</v>
      </c>
      <c r="F25" s="42">
        <f t="shared" si="10"/>
        <v>412136</v>
      </c>
      <c r="G25" s="6">
        <f t="shared" si="10"/>
        <v>412136</v>
      </c>
      <c r="H25" s="42">
        <f t="shared" si="10"/>
        <v>412136</v>
      </c>
      <c r="I25" s="6">
        <f t="shared" si="10"/>
        <v>422136</v>
      </c>
      <c r="J25" s="42">
        <f t="shared" si="10"/>
        <v>422136</v>
      </c>
      <c r="K25" s="6">
        <f t="shared" si="10"/>
        <v>422136</v>
      </c>
      <c r="L25" s="42">
        <f t="shared" si="10"/>
        <v>422136</v>
      </c>
      <c r="M25" s="6">
        <f t="shared" si="10"/>
        <v>322136</v>
      </c>
      <c r="N25" s="42">
        <f t="shared" si="10"/>
        <v>442136</v>
      </c>
      <c r="O25" s="6">
        <f t="shared" si="10"/>
        <v>442136</v>
      </c>
      <c r="P25" s="42">
        <f t="shared" si="10"/>
        <v>442136</v>
      </c>
      <c r="Q25" s="6">
        <f t="shared" si="10"/>
        <v>442136</v>
      </c>
      <c r="R25" s="42">
        <f t="shared" si="10"/>
        <v>442136</v>
      </c>
      <c r="S25" s="6">
        <f t="shared" si="10"/>
        <v>442136</v>
      </c>
      <c r="T25" s="42">
        <f t="shared" si="10"/>
        <v>442136</v>
      </c>
      <c r="U25" s="6">
        <f t="shared" si="10"/>
        <v>442136</v>
      </c>
      <c r="V25" s="42">
        <f t="shared" si="10"/>
        <v>442136</v>
      </c>
      <c r="W25" s="6">
        <f t="shared" si="10"/>
        <v>442136</v>
      </c>
      <c r="X25" s="42">
        <f t="shared" si="10"/>
        <v>442136</v>
      </c>
      <c r="Y25" s="6">
        <f t="shared" si="10"/>
        <v>442136</v>
      </c>
      <c r="Z25" s="42">
        <f t="shared" si="10"/>
        <v>442136</v>
      </c>
      <c r="AA25" s="6"/>
      <c r="AC25" s="6"/>
    </row>
    <row r="26" spans="1:29" ht="4.5" customHeight="1">
      <c r="A26" s="26"/>
      <c r="B26" s="20"/>
      <c r="C26" s="20"/>
      <c r="D26" s="6"/>
      <c r="E26" s="42"/>
      <c r="F26" s="42"/>
      <c r="G26" s="6"/>
      <c r="H26" s="42"/>
      <c r="I26" s="6"/>
      <c r="J26" s="42"/>
      <c r="K26" s="6"/>
      <c r="L26" s="42"/>
      <c r="M26" s="6"/>
      <c r="N26" s="42"/>
      <c r="O26" s="6"/>
      <c r="P26" s="42"/>
      <c r="Q26" s="6"/>
      <c r="R26" s="42"/>
      <c r="S26" s="6"/>
      <c r="T26" s="42"/>
      <c r="U26" s="6"/>
      <c r="V26" s="42"/>
      <c r="W26" s="6"/>
      <c r="X26" s="42"/>
      <c r="Y26" s="6"/>
      <c r="Z26" s="42"/>
    </row>
    <row r="27" spans="1:29">
      <c r="A27" s="28" t="s">
        <v>89</v>
      </c>
      <c r="B27" s="20"/>
      <c r="C27" s="20"/>
      <c r="D27" s="6"/>
      <c r="E27" s="42"/>
      <c r="F27" s="42"/>
      <c r="G27" s="6"/>
      <c r="H27" s="42"/>
      <c r="I27" s="6"/>
      <c r="J27" s="42"/>
      <c r="K27" s="6"/>
      <c r="L27" s="42"/>
      <c r="M27" s="6"/>
      <c r="N27" s="42"/>
      <c r="O27" s="6"/>
      <c r="P27" s="42"/>
      <c r="Q27" s="6"/>
      <c r="R27" s="42"/>
      <c r="S27" s="6"/>
      <c r="T27" s="42"/>
      <c r="U27" s="6"/>
      <c r="V27" s="42"/>
      <c r="W27" s="6"/>
      <c r="X27" s="42"/>
      <c r="Y27" s="6"/>
      <c r="Z27" s="42"/>
    </row>
    <row r="28" spans="1:29">
      <c r="A28" s="32" t="s">
        <v>102</v>
      </c>
      <c r="B28" s="20"/>
      <c r="C28" s="20">
        <f>C13-C25</f>
        <v>-412136</v>
      </c>
      <c r="D28" s="6">
        <f t="shared" ref="D28:Z28" si="11">D13-D25</f>
        <v>-412136</v>
      </c>
      <c r="E28" s="42">
        <f t="shared" si="11"/>
        <v>-412136</v>
      </c>
      <c r="F28" s="42">
        <f t="shared" si="11"/>
        <v>-412136</v>
      </c>
      <c r="G28" s="6">
        <f t="shared" si="11"/>
        <v>-412136</v>
      </c>
      <c r="H28" s="42">
        <f t="shared" si="11"/>
        <v>-412136</v>
      </c>
      <c r="I28" s="6">
        <f t="shared" si="11"/>
        <v>-422136</v>
      </c>
      <c r="J28" s="42">
        <f t="shared" si="11"/>
        <v>-422136</v>
      </c>
      <c r="K28" s="6">
        <f t="shared" si="11"/>
        <v>-422136</v>
      </c>
      <c r="L28" s="42">
        <f t="shared" si="11"/>
        <v>-322136</v>
      </c>
      <c r="M28" s="6">
        <f t="shared" si="11"/>
        <v>-462136</v>
      </c>
      <c r="N28" s="42">
        <f t="shared" si="11"/>
        <v>-442136</v>
      </c>
      <c r="O28" s="6">
        <f t="shared" si="11"/>
        <v>-442136</v>
      </c>
      <c r="P28" s="42">
        <f t="shared" si="11"/>
        <v>-442136</v>
      </c>
      <c r="Q28" s="6">
        <f t="shared" si="11"/>
        <v>-442136</v>
      </c>
      <c r="R28" s="42">
        <f t="shared" si="11"/>
        <v>-442136</v>
      </c>
      <c r="S28" s="6">
        <f t="shared" si="11"/>
        <v>-442136</v>
      </c>
      <c r="T28" s="42">
        <f t="shared" si="11"/>
        <v>-442136</v>
      </c>
      <c r="U28" s="6">
        <f t="shared" si="11"/>
        <v>-442136</v>
      </c>
      <c r="V28" s="42">
        <f t="shared" si="11"/>
        <v>-442136</v>
      </c>
      <c r="W28" s="6">
        <f t="shared" si="11"/>
        <v>-442136</v>
      </c>
      <c r="X28" s="42">
        <f t="shared" si="11"/>
        <v>-442136</v>
      </c>
      <c r="Y28" s="6">
        <f t="shared" si="11"/>
        <v>-442136</v>
      </c>
      <c r="Z28" s="42">
        <f t="shared" si="11"/>
        <v>-442136</v>
      </c>
    </row>
    <row r="29" spans="1:29" ht="13" thickBot="1">
      <c r="A29" s="63" t="s">
        <v>100</v>
      </c>
      <c r="B29" s="64">
        <f>SUM(C29:Z29)</f>
        <v>0</v>
      </c>
      <c r="C29" s="64">
        <f>MAX(0,C28)</f>
        <v>0</v>
      </c>
      <c r="D29" s="65">
        <f t="shared" ref="D29:Z29" si="12">MAX(0,D28)</f>
        <v>0</v>
      </c>
      <c r="E29" s="66">
        <f t="shared" si="12"/>
        <v>0</v>
      </c>
      <c r="F29" s="66">
        <f t="shared" si="12"/>
        <v>0</v>
      </c>
      <c r="G29" s="65">
        <f t="shared" si="12"/>
        <v>0</v>
      </c>
      <c r="H29" s="66">
        <f t="shared" si="12"/>
        <v>0</v>
      </c>
      <c r="I29" s="65">
        <f t="shared" si="12"/>
        <v>0</v>
      </c>
      <c r="J29" s="66">
        <f t="shared" si="12"/>
        <v>0</v>
      </c>
      <c r="K29" s="65">
        <f t="shared" si="12"/>
        <v>0</v>
      </c>
      <c r="L29" s="66">
        <f t="shared" si="12"/>
        <v>0</v>
      </c>
      <c r="M29" s="65">
        <f t="shared" si="12"/>
        <v>0</v>
      </c>
      <c r="N29" s="66">
        <f t="shared" si="12"/>
        <v>0</v>
      </c>
      <c r="O29" s="65">
        <f t="shared" si="12"/>
        <v>0</v>
      </c>
      <c r="P29" s="66">
        <f t="shared" si="12"/>
        <v>0</v>
      </c>
      <c r="Q29" s="65">
        <f t="shared" si="12"/>
        <v>0</v>
      </c>
      <c r="R29" s="66">
        <f t="shared" si="12"/>
        <v>0</v>
      </c>
      <c r="S29" s="65">
        <f t="shared" si="12"/>
        <v>0</v>
      </c>
      <c r="T29" s="66">
        <f t="shared" si="12"/>
        <v>0</v>
      </c>
      <c r="U29" s="65">
        <f t="shared" si="12"/>
        <v>0</v>
      </c>
      <c r="V29" s="66">
        <f t="shared" si="12"/>
        <v>0</v>
      </c>
      <c r="W29" s="65">
        <f t="shared" si="12"/>
        <v>0</v>
      </c>
      <c r="X29" s="66">
        <f t="shared" si="12"/>
        <v>0</v>
      </c>
      <c r="Y29" s="65">
        <f t="shared" si="12"/>
        <v>0</v>
      </c>
      <c r="Z29" s="66">
        <f t="shared" si="12"/>
        <v>0</v>
      </c>
    </row>
    <row r="30" spans="1:29" ht="13">
      <c r="A30" s="27" t="s">
        <v>90</v>
      </c>
      <c r="B30" s="35"/>
      <c r="C30" s="35">
        <f>C25+C29</f>
        <v>452136</v>
      </c>
      <c r="D30" s="11">
        <f t="shared" ref="D30:Z30" si="13">D25+D29</f>
        <v>412136</v>
      </c>
      <c r="E30" s="43">
        <f t="shared" si="13"/>
        <v>412136</v>
      </c>
      <c r="F30" s="43">
        <f t="shared" si="13"/>
        <v>412136</v>
      </c>
      <c r="G30" s="11">
        <f t="shared" si="13"/>
        <v>412136</v>
      </c>
      <c r="H30" s="43">
        <f t="shared" si="13"/>
        <v>412136</v>
      </c>
      <c r="I30" s="11">
        <f t="shared" si="13"/>
        <v>422136</v>
      </c>
      <c r="J30" s="43">
        <f t="shared" si="13"/>
        <v>422136</v>
      </c>
      <c r="K30" s="11">
        <f t="shared" si="13"/>
        <v>422136</v>
      </c>
      <c r="L30" s="43">
        <f t="shared" si="13"/>
        <v>422136</v>
      </c>
      <c r="M30" s="11">
        <f t="shared" si="13"/>
        <v>322136</v>
      </c>
      <c r="N30" s="43">
        <f t="shared" si="13"/>
        <v>442136</v>
      </c>
      <c r="O30" s="11">
        <f t="shared" si="13"/>
        <v>442136</v>
      </c>
      <c r="P30" s="43">
        <f t="shared" si="13"/>
        <v>442136</v>
      </c>
      <c r="Q30" s="11">
        <f t="shared" si="13"/>
        <v>442136</v>
      </c>
      <c r="R30" s="43">
        <f t="shared" si="13"/>
        <v>442136</v>
      </c>
      <c r="S30" s="11">
        <f t="shared" si="13"/>
        <v>442136</v>
      </c>
      <c r="T30" s="43">
        <f t="shared" si="13"/>
        <v>442136</v>
      </c>
      <c r="U30" s="11">
        <f t="shared" si="13"/>
        <v>442136</v>
      </c>
      <c r="V30" s="43">
        <f t="shared" si="13"/>
        <v>442136</v>
      </c>
      <c r="W30" s="11">
        <f t="shared" si="13"/>
        <v>442136</v>
      </c>
      <c r="X30" s="43">
        <f t="shared" si="13"/>
        <v>442136</v>
      </c>
      <c r="Y30" s="11">
        <f t="shared" si="13"/>
        <v>442136</v>
      </c>
      <c r="Z30" s="43">
        <f t="shared" si="13"/>
        <v>442136</v>
      </c>
    </row>
    <row r="31" spans="1:29" ht="6" customHeight="1">
      <c r="B31" s="20"/>
      <c r="C31" s="39"/>
      <c r="D31" s="6"/>
      <c r="E31" s="42"/>
      <c r="F31" s="42"/>
      <c r="G31" s="6"/>
      <c r="H31" s="42"/>
      <c r="I31" s="6"/>
      <c r="J31" s="42"/>
      <c r="K31" s="6"/>
      <c r="L31" s="42"/>
      <c r="M31" s="6"/>
      <c r="N31" s="42"/>
      <c r="O31" s="6"/>
      <c r="P31" s="42"/>
      <c r="Q31" s="6"/>
      <c r="R31" s="42"/>
      <c r="S31" s="6"/>
      <c r="T31" s="42"/>
      <c r="U31" s="6"/>
      <c r="V31" s="42"/>
      <c r="W31" s="6"/>
      <c r="X31" s="42"/>
      <c r="Y31" s="6"/>
      <c r="Z31" s="42"/>
    </row>
    <row r="32" spans="1:29">
      <c r="A32" s="33" t="s">
        <v>91</v>
      </c>
      <c r="B32" s="20"/>
      <c r="C32" s="20">
        <f>MAX(0,-C28)</f>
        <v>412136</v>
      </c>
      <c r="D32" s="6">
        <f>MAX(0,-D28)</f>
        <v>412136</v>
      </c>
      <c r="E32" s="42">
        <f t="shared" ref="E32:Z32" si="14">MAX(0,-E28)</f>
        <v>412136</v>
      </c>
      <c r="F32" s="42">
        <f t="shared" si="14"/>
        <v>412136</v>
      </c>
      <c r="G32" s="6">
        <f t="shared" si="14"/>
        <v>412136</v>
      </c>
      <c r="H32" s="42">
        <f t="shared" si="14"/>
        <v>412136</v>
      </c>
      <c r="I32" s="6">
        <f t="shared" si="14"/>
        <v>422136</v>
      </c>
      <c r="J32" s="42">
        <f t="shared" si="14"/>
        <v>422136</v>
      </c>
      <c r="K32" s="6">
        <f t="shared" si="14"/>
        <v>422136</v>
      </c>
      <c r="L32" s="42">
        <f t="shared" si="14"/>
        <v>322136</v>
      </c>
      <c r="M32" s="6">
        <f t="shared" si="14"/>
        <v>462136</v>
      </c>
      <c r="N32" s="42">
        <f t="shared" si="14"/>
        <v>442136</v>
      </c>
      <c r="O32" s="6">
        <f t="shared" si="14"/>
        <v>442136</v>
      </c>
      <c r="P32" s="42">
        <f t="shared" si="14"/>
        <v>442136</v>
      </c>
      <c r="Q32" s="6">
        <f t="shared" si="14"/>
        <v>442136</v>
      </c>
      <c r="R32" s="42">
        <f t="shared" si="14"/>
        <v>442136</v>
      </c>
      <c r="S32" s="6">
        <f t="shared" si="14"/>
        <v>442136</v>
      </c>
      <c r="T32" s="42">
        <f t="shared" si="14"/>
        <v>442136</v>
      </c>
      <c r="U32" s="6">
        <f t="shared" si="14"/>
        <v>442136</v>
      </c>
      <c r="V32" s="42">
        <f t="shared" si="14"/>
        <v>442136</v>
      </c>
      <c r="W32" s="6">
        <f t="shared" si="14"/>
        <v>442136</v>
      </c>
      <c r="X32" s="42">
        <f t="shared" si="14"/>
        <v>442136</v>
      </c>
      <c r="Y32" s="6">
        <f t="shared" si="14"/>
        <v>442136</v>
      </c>
      <c r="Z32" s="42">
        <f t="shared" si="14"/>
        <v>442136</v>
      </c>
    </row>
    <row r="33" spans="1:27" ht="13" thickBot="1">
      <c r="A33" s="58" t="s">
        <v>103</v>
      </c>
      <c r="B33" s="59"/>
      <c r="C33" s="59"/>
      <c r="D33" s="60">
        <f>IF(C40&gt;0,MIN(D32,C40),0)</f>
        <v>0</v>
      </c>
      <c r="E33" s="61">
        <f t="shared" ref="E33:Z33" si="15">IF(D40&gt;0,MIN(E32,D40),0)</f>
        <v>0</v>
      </c>
      <c r="F33" s="61">
        <f t="shared" si="15"/>
        <v>0</v>
      </c>
      <c r="G33" s="60">
        <f t="shared" si="15"/>
        <v>0</v>
      </c>
      <c r="H33" s="61">
        <f t="shared" si="15"/>
        <v>0</v>
      </c>
      <c r="I33" s="62">
        <f t="shared" si="15"/>
        <v>0</v>
      </c>
      <c r="J33" s="61">
        <f t="shared" si="15"/>
        <v>0</v>
      </c>
      <c r="K33" s="60">
        <f t="shared" si="15"/>
        <v>0</v>
      </c>
      <c r="L33" s="61">
        <f t="shared" si="15"/>
        <v>0</v>
      </c>
      <c r="M33" s="60">
        <f t="shared" si="15"/>
        <v>0</v>
      </c>
      <c r="N33" s="61">
        <f t="shared" si="15"/>
        <v>0</v>
      </c>
      <c r="O33" s="60">
        <f t="shared" si="15"/>
        <v>0</v>
      </c>
      <c r="P33" s="61">
        <f t="shared" si="15"/>
        <v>0</v>
      </c>
      <c r="Q33" s="60">
        <f t="shared" si="15"/>
        <v>0</v>
      </c>
      <c r="R33" s="61">
        <f t="shared" si="15"/>
        <v>0</v>
      </c>
      <c r="S33" s="60">
        <f t="shared" si="15"/>
        <v>0</v>
      </c>
      <c r="T33" s="61">
        <f t="shared" si="15"/>
        <v>0</v>
      </c>
      <c r="U33" s="60">
        <f t="shared" si="15"/>
        <v>0</v>
      </c>
      <c r="V33" s="61">
        <f t="shared" si="15"/>
        <v>0</v>
      </c>
      <c r="W33" s="60">
        <f t="shared" si="15"/>
        <v>0</v>
      </c>
      <c r="X33" s="61">
        <f t="shared" si="15"/>
        <v>0</v>
      </c>
      <c r="Y33" s="60">
        <f t="shared" si="15"/>
        <v>0</v>
      </c>
      <c r="Z33" s="61">
        <f t="shared" si="15"/>
        <v>0</v>
      </c>
    </row>
    <row r="34" spans="1:27" ht="13">
      <c r="A34" s="36" t="s">
        <v>106</v>
      </c>
      <c r="B34" s="20"/>
      <c r="C34" s="35">
        <f>C33+C13</f>
        <v>40000</v>
      </c>
      <c r="D34" s="11">
        <f>D33+D13</f>
        <v>0</v>
      </c>
      <c r="E34" s="43">
        <f t="shared" ref="E34:Z34" si="16">E33+E13</f>
        <v>0</v>
      </c>
      <c r="F34" s="43">
        <f t="shared" si="16"/>
        <v>0</v>
      </c>
      <c r="G34" s="11">
        <f t="shared" si="16"/>
        <v>0</v>
      </c>
      <c r="H34" s="43">
        <f t="shared" si="16"/>
        <v>0</v>
      </c>
      <c r="I34" s="11">
        <f t="shared" si="16"/>
        <v>0</v>
      </c>
      <c r="J34" s="43">
        <f t="shared" si="16"/>
        <v>0</v>
      </c>
      <c r="K34" s="11">
        <f t="shared" si="16"/>
        <v>0</v>
      </c>
      <c r="L34" s="43">
        <f t="shared" si="16"/>
        <v>100000</v>
      </c>
      <c r="M34" s="11">
        <f t="shared" si="16"/>
        <v>-140000</v>
      </c>
      <c r="N34" s="43">
        <f t="shared" si="16"/>
        <v>0</v>
      </c>
      <c r="O34" s="11">
        <f t="shared" si="16"/>
        <v>0</v>
      </c>
      <c r="P34" s="43">
        <f t="shared" si="16"/>
        <v>0</v>
      </c>
      <c r="Q34" s="11">
        <f t="shared" si="16"/>
        <v>0</v>
      </c>
      <c r="R34" s="43">
        <f t="shared" si="16"/>
        <v>0</v>
      </c>
      <c r="S34" s="11">
        <f t="shared" si="16"/>
        <v>0</v>
      </c>
      <c r="T34" s="43">
        <f t="shared" si="16"/>
        <v>0</v>
      </c>
      <c r="U34" s="11">
        <f t="shared" si="16"/>
        <v>0</v>
      </c>
      <c r="V34" s="43">
        <f t="shared" si="16"/>
        <v>0</v>
      </c>
      <c r="W34" s="11">
        <f t="shared" si="16"/>
        <v>0</v>
      </c>
      <c r="X34" s="43">
        <f t="shared" si="16"/>
        <v>0</v>
      </c>
      <c r="Y34" s="11">
        <f t="shared" si="16"/>
        <v>0</v>
      </c>
      <c r="Z34" s="43">
        <f t="shared" si="16"/>
        <v>0</v>
      </c>
    </row>
    <row r="35" spans="1:27">
      <c r="A35" s="29" t="s">
        <v>92</v>
      </c>
      <c r="B35" s="20"/>
      <c r="C35" s="67">
        <f>C30-C34</f>
        <v>412136</v>
      </c>
      <c r="D35" s="68">
        <f>D30-D34</f>
        <v>412136</v>
      </c>
      <c r="E35" s="67">
        <f t="shared" ref="E35:Z35" si="17">E30-E34</f>
        <v>412136</v>
      </c>
      <c r="F35" s="67">
        <f t="shared" si="17"/>
        <v>412136</v>
      </c>
      <c r="G35" s="68">
        <f t="shared" si="17"/>
        <v>412136</v>
      </c>
      <c r="H35" s="67">
        <f t="shared" si="17"/>
        <v>412136</v>
      </c>
      <c r="I35" s="68">
        <f t="shared" si="17"/>
        <v>422136</v>
      </c>
      <c r="J35" s="67">
        <f t="shared" si="17"/>
        <v>422136</v>
      </c>
      <c r="K35" s="68">
        <f t="shared" si="17"/>
        <v>422136</v>
      </c>
      <c r="L35" s="67">
        <f t="shared" si="17"/>
        <v>322136</v>
      </c>
      <c r="M35" s="68">
        <f t="shared" si="17"/>
        <v>462136</v>
      </c>
      <c r="N35" s="67">
        <f t="shared" si="17"/>
        <v>442136</v>
      </c>
      <c r="O35" s="68">
        <f t="shared" si="17"/>
        <v>442136</v>
      </c>
      <c r="P35" s="67">
        <f t="shared" si="17"/>
        <v>442136</v>
      </c>
      <c r="Q35" s="68">
        <f t="shared" si="17"/>
        <v>442136</v>
      </c>
      <c r="R35" s="67">
        <f t="shared" si="17"/>
        <v>442136</v>
      </c>
      <c r="S35" s="68">
        <f t="shared" si="17"/>
        <v>442136</v>
      </c>
      <c r="T35" s="67">
        <f t="shared" si="17"/>
        <v>442136</v>
      </c>
      <c r="U35" s="68">
        <f t="shared" si="17"/>
        <v>442136</v>
      </c>
      <c r="V35" s="67">
        <f t="shared" si="17"/>
        <v>442136</v>
      </c>
      <c r="W35" s="68">
        <f t="shared" si="17"/>
        <v>442136</v>
      </c>
      <c r="X35" s="67">
        <f t="shared" si="17"/>
        <v>442136</v>
      </c>
      <c r="Y35" s="68">
        <f t="shared" si="17"/>
        <v>442136</v>
      </c>
      <c r="Z35" s="67">
        <f t="shared" si="17"/>
        <v>442136</v>
      </c>
    </row>
    <row r="36" spans="1:27">
      <c r="A36" s="37" t="s">
        <v>105</v>
      </c>
      <c r="B36" s="20"/>
      <c r="C36" s="20"/>
      <c r="D36" s="6"/>
      <c r="E36" s="42"/>
      <c r="F36" s="42"/>
      <c r="G36" s="6"/>
      <c r="H36" s="42"/>
      <c r="I36" s="6"/>
      <c r="J36" s="42"/>
      <c r="K36" s="6"/>
      <c r="L36" s="42"/>
      <c r="M36" s="6"/>
      <c r="N36" s="42"/>
      <c r="O36" s="6"/>
      <c r="P36" s="42"/>
      <c r="Q36" s="6"/>
      <c r="R36" s="42"/>
      <c r="S36" s="6"/>
      <c r="T36" s="42"/>
      <c r="U36" s="6"/>
      <c r="V36" s="42"/>
      <c r="W36" s="6"/>
      <c r="X36" s="42"/>
      <c r="Y36" s="6"/>
      <c r="Z36" s="42"/>
    </row>
    <row r="37" spans="1:27">
      <c r="A37" s="26" t="s">
        <v>101</v>
      </c>
      <c r="B37" s="20"/>
      <c r="C37" s="45">
        <f>C29</f>
        <v>0</v>
      </c>
      <c r="D37" s="46">
        <f>D29</f>
        <v>0</v>
      </c>
      <c r="E37" s="45">
        <f t="shared" ref="E37:Z37" si="18">E29</f>
        <v>0</v>
      </c>
      <c r="F37" s="45">
        <f t="shared" si="18"/>
        <v>0</v>
      </c>
      <c r="G37" s="46">
        <f t="shared" si="18"/>
        <v>0</v>
      </c>
      <c r="H37" s="45">
        <f t="shared" si="18"/>
        <v>0</v>
      </c>
      <c r="I37" s="46">
        <f t="shared" si="18"/>
        <v>0</v>
      </c>
      <c r="J37" s="45">
        <f t="shared" si="18"/>
        <v>0</v>
      </c>
      <c r="K37" s="46">
        <f t="shared" si="18"/>
        <v>0</v>
      </c>
      <c r="L37" s="45">
        <f t="shared" si="18"/>
        <v>0</v>
      </c>
      <c r="M37" s="46">
        <f t="shared" si="18"/>
        <v>0</v>
      </c>
      <c r="N37" s="45">
        <f t="shared" si="18"/>
        <v>0</v>
      </c>
      <c r="O37" s="46">
        <f t="shared" si="18"/>
        <v>0</v>
      </c>
      <c r="P37" s="45">
        <f t="shared" si="18"/>
        <v>0</v>
      </c>
      <c r="Q37" s="46">
        <f t="shared" si="18"/>
        <v>0</v>
      </c>
      <c r="R37" s="45">
        <f t="shared" si="18"/>
        <v>0</v>
      </c>
      <c r="S37" s="46">
        <f t="shared" si="18"/>
        <v>0</v>
      </c>
      <c r="T37" s="45">
        <f t="shared" si="18"/>
        <v>0</v>
      </c>
      <c r="U37" s="46">
        <f t="shared" si="18"/>
        <v>0</v>
      </c>
      <c r="V37" s="45">
        <f t="shared" si="18"/>
        <v>0</v>
      </c>
      <c r="W37" s="46">
        <f t="shared" si="18"/>
        <v>0</v>
      </c>
      <c r="X37" s="45">
        <f t="shared" si="18"/>
        <v>0</v>
      </c>
      <c r="Y37" s="46">
        <f t="shared" si="18"/>
        <v>0</v>
      </c>
      <c r="Z37" s="45">
        <f t="shared" si="18"/>
        <v>0</v>
      </c>
    </row>
    <row r="38" spans="1:27">
      <c r="A38" s="26" t="s">
        <v>93</v>
      </c>
      <c r="B38" s="20"/>
      <c r="C38" s="42"/>
      <c r="D38" s="6">
        <f>-D33</f>
        <v>0</v>
      </c>
      <c r="E38" s="42">
        <f t="shared" ref="E38:Z38" si="19">-E33</f>
        <v>0</v>
      </c>
      <c r="F38" s="42">
        <f t="shared" si="19"/>
        <v>0</v>
      </c>
      <c r="G38" s="6">
        <f t="shared" si="19"/>
        <v>0</v>
      </c>
      <c r="H38" s="42">
        <f t="shared" si="19"/>
        <v>0</v>
      </c>
      <c r="I38" s="6">
        <f t="shared" si="19"/>
        <v>0</v>
      </c>
      <c r="J38" s="42">
        <f t="shared" si="19"/>
        <v>0</v>
      </c>
      <c r="K38" s="6">
        <f t="shared" si="19"/>
        <v>0</v>
      </c>
      <c r="L38" s="42">
        <f t="shared" si="19"/>
        <v>0</v>
      </c>
      <c r="M38" s="6">
        <f t="shared" si="19"/>
        <v>0</v>
      </c>
      <c r="N38" s="42">
        <f t="shared" si="19"/>
        <v>0</v>
      </c>
      <c r="O38" s="6">
        <f t="shared" si="19"/>
        <v>0</v>
      </c>
      <c r="P38" s="42">
        <f t="shared" si="19"/>
        <v>0</v>
      </c>
      <c r="Q38" s="6">
        <f t="shared" si="19"/>
        <v>0</v>
      </c>
      <c r="R38" s="42">
        <f t="shared" si="19"/>
        <v>0</v>
      </c>
      <c r="S38" s="6">
        <f t="shared" si="19"/>
        <v>0</v>
      </c>
      <c r="T38" s="42">
        <f t="shared" si="19"/>
        <v>0</v>
      </c>
      <c r="U38" s="6">
        <f t="shared" si="19"/>
        <v>0</v>
      </c>
      <c r="V38" s="42">
        <f t="shared" si="19"/>
        <v>0</v>
      </c>
      <c r="W38" s="6">
        <f t="shared" si="19"/>
        <v>0</v>
      </c>
      <c r="X38" s="42">
        <f t="shared" si="19"/>
        <v>0</v>
      </c>
      <c r="Y38" s="6">
        <f t="shared" si="19"/>
        <v>0</v>
      </c>
      <c r="Z38" s="42">
        <f t="shared" si="19"/>
        <v>0</v>
      </c>
      <c r="AA38" s="40" t="s">
        <v>66</v>
      </c>
    </row>
    <row r="39" spans="1:27" ht="13">
      <c r="A39" s="30" t="s">
        <v>104</v>
      </c>
      <c r="B39" s="69">
        <v>7.4999999999999997E-2</v>
      </c>
      <c r="C39" s="42"/>
      <c r="D39" s="6">
        <f>$B$39/12*C40</f>
        <v>0</v>
      </c>
      <c r="E39" s="42">
        <f t="shared" ref="E39:Z39" si="20">$B$39/12*D40</f>
        <v>0</v>
      </c>
      <c r="F39" s="42">
        <f t="shared" si="20"/>
        <v>0</v>
      </c>
      <c r="G39" s="6">
        <f t="shared" si="20"/>
        <v>0</v>
      </c>
      <c r="H39" s="42">
        <f t="shared" si="20"/>
        <v>0</v>
      </c>
      <c r="I39" s="6">
        <f t="shared" si="20"/>
        <v>0</v>
      </c>
      <c r="J39" s="42">
        <f t="shared" si="20"/>
        <v>0</v>
      </c>
      <c r="K39" s="6">
        <f t="shared" si="20"/>
        <v>0</v>
      </c>
      <c r="L39" s="42">
        <f t="shared" si="20"/>
        <v>0</v>
      </c>
      <c r="M39" s="6">
        <f t="shared" si="20"/>
        <v>0</v>
      </c>
      <c r="N39" s="42">
        <f t="shared" si="20"/>
        <v>0</v>
      </c>
      <c r="O39" s="6">
        <f t="shared" si="20"/>
        <v>0</v>
      </c>
      <c r="P39" s="42">
        <f t="shared" si="20"/>
        <v>0</v>
      </c>
      <c r="Q39" s="6">
        <f t="shared" si="20"/>
        <v>0</v>
      </c>
      <c r="R39" s="42">
        <f t="shared" si="20"/>
        <v>0</v>
      </c>
      <c r="S39" s="6">
        <f t="shared" si="20"/>
        <v>0</v>
      </c>
      <c r="T39" s="42">
        <f t="shared" si="20"/>
        <v>0</v>
      </c>
      <c r="U39" s="6">
        <f t="shared" si="20"/>
        <v>0</v>
      </c>
      <c r="V39" s="42">
        <f t="shared" si="20"/>
        <v>0</v>
      </c>
      <c r="W39" s="6">
        <f t="shared" si="20"/>
        <v>0</v>
      </c>
      <c r="X39" s="42">
        <f t="shared" si="20"/>
        <v>0</v>
      </c>
      <c r="Y39" s="6">
        <f t="shared" si="20"/>
        <v>0</v>
      </c>
      <c r="Z39" s="42">
        <f t="shared" si="20"/>
        <v>0</v>
      </c>
      <c r="AA39" s="142">
        <f>SUM(C39:Z39)</f>
        <v>0</v>
      </c>
    </row>
    <row r="40" spans="1:27">
      <c r="A40" s="30" t="s">
        <v>97</v>
      </c>
      <c r="B40" s="67">
        <f>MAX(C40:Z40)</f>
        <v>0</v>
      </c>
      <c r="C40" s="44">
        <f>C37</f>
        <v>0</v>
      </c>
      <c r="D40" s="10">
        <f>C40+D37+D38+D39</f>
        <v>0</v>
      </c>
      <c r="E40" s="44">
        <f t="shared" ref="E40:Z40" si="21">D40+E37+E38+E39</f>
        <v>0</v>
      </c>
      <c r="F40" s="44">
        <f t="shared" si="21"/>
        <v>0</v>
      </c>
      <c r="G40" s="10">
        <f t="shared" si="21"/>
        <v>0</v>
      </c>
      <c r="H40" s="44">
        <f t="shared" si="21"/>
        <v>0</v>
      </c>
      <c r="I40" s="10">
        <f t="shared" si="21"/>
        <v>0</v>
      </c>
      <c r="J40" s="44">
        <f t="shared" si="21"/>
        <v>0</v>
      </c>
      <c r="K40" s="10">
        <f t="shared" si="21"/>
        <v>0</v>
      </c>
      <c r="L40" s="44">
        <f t="shared" si="21"/>
        <v>0</v>
      </c>
      <c r="M40" s="10">
        <f t="shared" si="21"/>
        <v>0</v>
      </c>
      <c r="N40" s="44">
        <f t="shared" si="21"/>
        <v>0</v>
      </c>
      <c r="O40" s="10">
        <f t="shared" si="21"/>
        <v>0</v>
      </c>
      <c r="P40" s="44">
        <f t="shared" si="21"/>
        <v>0</v>
      </c>
      <c r="Q40" s="10">
        <f t="shared" si="21"/>
        <v>0</v>
      </c>
      <c r="R40" s="44">
        <f t="shared" si="21"/>
        <v>0</v>
      </c>
      <c r="S40" s="10">
        <f t="shared" si="21"/>
        <v>0</v>
      </c>
      <c r="T40" s="44">
        <f t="shared" si="21"/>
        <v>0</v>
      </c>
      <c r="U40" s="10">
        <f t="shared" si="21"/>
        <v>0</v>
      </c>
      <c r="V40" s="44">
        <f t="shared" si="21"/>
        <v>0</v>
      </c>
      <c r="W40" s="10">
        <f t="shared" si="21"/>
        <v>0</v>
      </c>
      <c r="X40" s="44">
        <f t="shared" si="21"/>
        <v>0</v>
      </c>
      <c r="Y40" s="10">
        <f t="shared" si="21"/>
        <v>0</v>
      </c>
      <c r="Z40" s="44">
        <f t="shared" si="21"/>
        <v>0</v>
      </c>
    </row>
    <row r="41" spans="1:27">
      <c r="A41" s="30"/>
      <c r="B41" s="20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7">
      <c r="B42" s="20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7">
      <c r="A43" s="30"/>
      <c r="B43" s="20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7">
      <c r="A44" s="30"/>
      <c r="B44" s="20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7">
      <c r="A45" s="30"/>
      <c r="B45" s="20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7">
      <c r="A46" s="30"/>
      <c r="B46" s="20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7">
      <c r="A47" s="30"/>
      <c r="B47" s="20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7">
      <c r="A48" s="30"/>
      <c r="B48" s="20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30"/>
      <c r="B49" s="20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30"/>
      <c r="B50" s="20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30"/>
      <c r="B51" s="20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30"/>
      <c r="B52" s="20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B53" s="20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B54" s="20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B55" s="20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B56" s="20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B57" s="20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B58" s="20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B59" s="20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26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26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26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26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26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2:26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26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2:26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2:26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2:26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</sheetData>
  <mergeCells count="1">
    <mergeCell ref="A1:B1"/>
  </mergeCells>
  <phoneticPr fontId="0" type="noConversion"/>
  <printOptions horizontalCentered="1"/>
  <pageMargins left="0.25" right="0.25" top="0.75" bottom="0.75" header="0.3" footer="0.3"/>
  <pageSetup scale="75" fitToWidth="2" orientation="landscape" r:id="rId1"/>
  <headerFooter alignWithMargins="0"/>
  <colBreaks count="1" manualBreakCount="1">
    <brk id="8" max="3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25"/>
  <sheetViews>
    <sheetView topLeftCell="A13" zoomScale="124" zoomScaleNormal="124" workbookViewId="0">
      <selection activeCell="D25" sqref="D25"/>
    </sheetView>
  </sheetViews>
  <sheetFormatPr defaultRowHeight="12.5"/>
  <cols>
    <col min="1" max="1" width="4" bestFit="1" customWidth="1"/>
    <col min="2" max="2" width="17" bestFit="1" customWidth="1"/>
    <col min="3" max="3" width="11.81640625" customWidth="1"/>
    <col min="4" max="4" width="21.1796875" customWidth="1"/>
  </cols>
  <sheetData>
    <row r="1" spans="2:4" ht="16" thickBot="1">
      <c r="B1" s="450" t="s">
        <v>172</v>
      </c>
      <c r="C1" s="452"/>
      <c r="D1" s="453"/>
    </row>
    <row r="2" spans="2:4" hidden="1"/>
    <row r="3" spans="2:4" hidden="1"/>
    <row r="4" spans="2:4">
      <c r="B4" t="s">
        <v>54</v>
      </c>
      <c r="D4">
        <f>Units</f>
        <v>0</v>
      </c>
    </row>
    <row r="5" spans="2:4">
      <c r="B5" t="s">
        <v>177</v>
      </c>
      <c r="D5">
        <f>Units-MktUnits</f>
        <v>0</v>
      </c>
    </row>
    <row r="6" spans="2:4" ht="13">
      <c r="B6" s="4" t="s">
        <v>176</v>
      </c>
      <c r="C6" s="4"/>
      <c r="D6" s="143" t="e">
        <f>D5/D4</f>
        <v>#DIV/0!</v>
      </c>
    </row>
    <row r="9" spans="2:4">
      <c r="B9" t="s">
        <v>173</v>
      </c>
      <c r="D9" s="144">
        <f>'6)Dev Budget'!K63</f>
        <v>0</v>
      </c>
    </row>
    <row r="10" spans="2:4">
      <c r="B10" t="s">
        <v>174</v>
      </c>
      <c r="D10" s="144">
        <f>'6)Dev Budget'!K17</f>
        <v>0</v>
      </c>
    </row>
    <row r="11" spans="2:4">
      <c r="B11" t="s">
        <v>175</v>
      </c>
      <c r="D11" s="144">
        <f>D9-D10</f>
        <v>0</v>
      </c>
    </row>
    <row r="12" spans="2:4">
      <c r="D12" s="144"/>
    </row>
    <row r="13" spans="2:4">
      <c r="B13" t="s">
        <v>185</v>
      </c>
      <c r="D13" s="145">
        <v>1</v>
      </c>
    </row>
    <row r="15" spans="2:4">
      <c r="B15" t="s">
        <v>178</v>
      </c>
      <c r="D15" s="146">
        <v>3.5000000000000003E-2</v>
      </c>
    </row>
    <row r="16" spans="2:4">
      <c r="B16" t="s">
        <v>179</v>
      </c>
      <c r="D16" s="146">
        <v>0.09</v>
      </c>
    </row>
    <row r="18" spans="2:6">
      <c r="B18" t="s">
        <v>182</v>
      </c>
      <c r="D18" s="144" t="e">
        <f>D6*D10*D15</f>
        <v>#DIV/0!</v>
      </c>
    </row>
    <row r="19" spans="2:6">
      <c r="B19" t="s">
        <v>183</v>
      </c>
      <c r="D19" s="144" t="e">
        <f>D6*D13*D11*D16</f>
        <v>#DIV/0!</v>
      </c>
    </row>
    <row r="20" spans="2:6" ht="13">
      <c r="B20" s="4" t="s">
        <v>184</v>
      </c>
      <c r="C20" s="4"/>
      <c r="D20" s="134" t="e">
        <f>D18+D19</f>
        <v>#DIV/0!</v>
      </c>
    </row>
    <row r="22" spans="2:6">
      <c r="B22" t="s">
        <v>180</v>
      </c>
      <c r="D22" s="152">
        <v>0.9</v>
      </c>
    </row>
    <row r="24" spans="2:6" ht="13">
      <c r="B24" s="4" t="s">
        <v>181</v>
      </c>
      <c r="C24" s="4"/>
      <c r="D24" s="134" t="e">
        <f>D20*10*D22</f>
        <v>#DIV/0!</v>
      </c>
      <c r="E24" s="353" t="e">
        <f>D24/TDC</f>
        <v>#DIV/0!</v>
      </c>
      <c r="F24" s="354" t="s">
        <v>362</v>
      </c>
    </row>
    <row r="25" spans="2:6" ht="13">
      <c r="B25" s="4" t="s">
        <v>363</v>
      </c>
      <c r="D25" s="355">
        <v>0</v>
      </c>
    </row>
  </sheetData>
  <mergeCells count="1">
    <mergeCell ref="B1:D1"/>
  </mergeCells>
  <phoneticPr fontId="0" type="noConversion"/>
  <dataValidations count="1">
    <dataValidation type="list" allowBlank="1" showInputMessage="1" showErrorMessage="1" sqref="D13" xr:uid="{00000000-0002-0000-0800-000000000000}">
      <formula1>"100%,130%"</formula1>
    </dataValidation>
  </dataValidations>
  <printOptions horizontalCentered="1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1)Summary &amp; Gap</vt:lpstr>
      <vt:lpstr>2)Compliance Info</vt:lpstr>
      <vt:lpstr>3)Units&amp;Revenue</vt:lpstr>
      <vt:lpstr>4)Operating Budget</vt:lpstr>
      <vt:lpstr>5)15 Yr Projection</vt:lpstr>
      <vt:lpstr>6)Dev Budget</vt:lpstr>
      <vt:lpstr>7)Const Scope</vt:lpstr>
      <vt:lpstr>8)Const Cash Flow</vt:lpstr>
      <vt:lpstr>9)TC Equity</vt:lpstr>
      <vt:lpstr>10)CNA</vt:lpstr>
      <vt:lpstr>Equity</vt:lpstr>
      <vt:lpstr>MktUnits</vt:lpstr>
      <vt:lpstr>'1)Summary &amp; Gap'!Print_Area</vt:lpstr>
      <vt:lpstr>'2)Compliance Info'!Print_Area</vt:lpstr>
      <vt:lpstr>'3)Units&amp;Revenue'!Print_Area</vt:lpstr>
      <vt:lpstr>'6)Dev Budget'!Print_Area</vt:lpstr>
      <vt:lpstr>'8)Const Cash Flow'!Print_Area</vt:lpstr>
      <vt:lpstr>'10)CNA'!Print_Titles</vt:lpstr>
      <vt:lpstr>'5)15 Yr Projection'!Print_Titles</vt:lpstr>
      <vt:lpstr>'8)Const Cash Flow'!Print_Titles</vt:lpstr>
      <vt:lpstr>SqFt</vt:lpstr>
      <vt:lpstr>TDC</vt:lpstr>
      <vt:lpstr>Units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Lathom</dc:creator>
  <cp:lastModifiedBy>Karl Haglund</cp:lastModifiedBy>
  <cp:lastPrinted>2018-01-26T18:43:47Z</cp:lastPrinted>
  <dcterms:created xsi:type="dcterms:W3CDTF">2008-11-27T20:23:46Z</dcterms:created>
  <dcterms:modified xsi:type="dcterms:W3CDTF">2026-05-14T14:36:47Z</dcterms:modified>
</cp:coreProperties>
</file>